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ERUEL\"/>
    </mc:Choice>
  </mc:AlternateContent>
  <workbookProtection workbookAlgorithmName="SHA-512" workbookHashValue="FGlMsE8bebwdPSz4cNeKKYIKxKgmEmkYjE7CyjeA/PCofHXrTMoBOtobIl4xQc7N6K8MHlERA63ENRQMFjTGGQ==" workbookSaltValue="gpQjaxpdF1GMPxIZU9HH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EP19" i="8"/>
  <c r="EP19" i="19"/>
  <c r="AT17" i="20"/>
  <c r="K18" i="2"/>
  <c r="M13" i="2"/>
  <c r="E12" i="6"/>
  <c r="T13" i="16"/>
  <c r="T13" i="20"/>
  <c r="AY18" i="8"/>
  <c r="BD12" i="8"/>
  <c r="H12" i="7" s="1"/>
  <c r="J18" i="17"/>
  <c r="BG15" i="13"/>
  <c r="BA18" i="13"/>
  <c r="BE15" i="13"/>
  <c r="AH20" i="20"/>
  <c r="AL20" i="20"/>
  <c r="AB20" i="20"/>
  <c r="U10" i="11"/>
  <c r="AO20" i="20"/>
  <c r="AN20" i="20"/>
  <c r="Y20" i="20"/>
  <c r="AJ19" i="8" l="1"/>
  <c r="R19" i="8"/>
  <c r="T13" i="12"/>
  <c r="AC10" i="11"/>
  <c r="D10" i="6"/>
  <c r="H13" i="12"/>
  <c r="BE10" i="8"/>
  <c r="AO12" i="11"/>
  <c r="N13" i="2"/>
  <c r="AL9" i="11"/>
  <c r="F9" i="2"/>
  <c r="AL12" i="11"/>
  <c r="R8" i="9"/>
  <c r="BL9" i="11" s="1"/>
  <c r="BF9" i="8"/>
  <c r="B10" i="6"/>
  <c r="H12" i="2"/>
  <c r="AY13" i="8"/>
  <c r="L9" i="14"/>
  <c r="C10" i="6"/>
  <c r="AY13" i="13"/>
  <c r="BG15" i="8"/>
  <c r="K15" i="7" s="1"/>
  <c r="BD16" i="8"/>
  <c r="AO17" i="11"/>
  <c r="L16" i="14"/>
  <c r="L17" i="14"/>
  <c r="F15" i="17"/>
  <c r="AQ15" i="17" s="1"/>
  <c r="L12" i="14"/>
  <c r="BA13" i="13"/>
  <c r="X12" i="21"/>
  <c r="BK12" i="11"/>
  <c r="BL11" i="11"/>
  <c r="BV11" i="16"/>
  <c r="T17" i="11"/>
  <c r="V15"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AP16" i="20"/>
  <c r="BH11" i="16"/>
  <c r="BH17" i="16"/>
  <c r="BG10" i="11"/>
  <c r="BM16" i="11"/>
  <c r="P17" i="17"/>
  <c r="BL17" i="11"/>
  <c r="BF10" i="11"/>
  <c r="BK9" i="11"/>
  <c r="BK15" i="11"/>
  <c r="BI10" i="11"/>
  <c r="Q10" i="21"/>
  <c r="V9" i="11"/>
  <c r="BJ11" i="11"/>
  <c r="R10" i="21"/>
  <c r="R13" i="21" s="1"/>
  <c r="BI17" i="11"/>
  <c r="BG9" i="11"/>
  <c r="BH17" i="11"/>
  <c r="BM15" i="11"/>
  <c r="T17" i="16"/>
  <c r="T15" i="16"/>
  <c r="BV17" i="16"/>
  <c r="BU10" i="17"/>
  <c r="BV12" i="16"/>
  <c r="BW12" i="20"/>
  <c r="BW11" i="20"/>
  <c r="U10" i="17"/>
  <c r="V12" i="16"/>
  <c r="L9" i="2"/>
  <c r="L16" i="2"/>
  <c r="BJ16" i="11"/>
  <c r="BH16" i="11"/>
  <c r="BH11" i="11"/>
  <c r="BJ10" i="11"/>
  <c r="BI9" i="11"/>
  <c r="Q17" i="17"/>
  <c r="AZ12" i="11"/>
  <c r="BU12" i="17"/>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K9" i="12" s="1"/>
  <c r="H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J13" i="2"/>
  <c r="BJ17" i="11"/>
  <c r="BJ18" i="11" s="1"/>
  <c r="BH9" i="16"/>
  <c r="BW10" i="20"/>
  <c r="BU11" i="17"/>
  <c r="V11" i="11"/>
  <c r="BH10" i="11"/>
  <c r="BK16" i="11"/>
  <c r="AQ12" i="21"/>
  <c r="U9" i="17"/>
  <c r="U19" i="17" s="1"/>
  <c r="BG12" i="11"/>
  <c r="AQ10" i="21"/>
  <c r="BG16" i="11"/>
  <c r="BL16" i="11"/>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BB20" i="16"/>
  <c r="L20" i="16"/>
  <c r="AF20" i="21"/>
  <c r="W20" i="17"/>
  <c r="AO20" i="11"/>
  <c r="E20" i="21"/>
  <c r="BM20" i="16"/>
  <c r="AM20" i="11"/>
  <c r="BE20" i="2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F20" i="17"/>
  <c r="AQ20" i="16"/>
  <c r="AF20" i="11"/>
  <c r="P20" i="16"/>
  <c r="N20" i="16"/>
  <c r="AG20" i="21"/>
  <c r="AL20" i="17"/>
  <c r="AS20" i="16"/>
  <c r="AD20" i="17"/>
  <c r="H20" i="16"/>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<sst xmlns="http://schemas.openxmlformats.org/spreadsheetml/2006/main" count="2102" uniqueCount="917">
  <si>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</si>
  <si>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</si>
  <si>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</si>
  <si>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</si>
  <si>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</si>
  <si>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</si>
  <si>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</si>
  <si>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</si>
  <si>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</si>
  <si>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</si>
  <si>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</si>
  <si>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</si>
  <si>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</si>
  <si>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</si>
  <si>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</si>
  <si>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</si>
  <si>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</si>
  <si>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</si>
  <si>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</si>
  <si>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</si>
  <si>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</si>
  <si>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</si>
  <si>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</si>
  <si>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</si>
  <si>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</si>
  <si>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</si>
  <si>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</si>
  <si>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</si>
  <si>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</si>
  <si>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</si>
  <si>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</si>
  <si>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</si>
  <si>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</si>
  <si>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</si>
  <si>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</si>
  <si>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</si>
  <si>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</si>
  <si>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</si>
  <si>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</si>
  <si>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</si>
  <si>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</si>
  <si>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</si>
  <si>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</si>
  <si>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</si>
  <si>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</si>
  <si>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</si>
  <si>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</si>
  <si>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</si>
  <si>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</si>
  <si>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</si>
  <si>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</si>
  <si>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</si>
  <si>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</si>
  <si>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</si>
  <si>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</si>
  <si>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</si>
  <si>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</si>
  <si>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</si>
  <si>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</si>
  <si>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</si>
  <si>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</si>
  <si>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</si>
  <si>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</si>
  <si>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</si>
  <si>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</si>
  <si>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</si>
  <si>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</si>
  <si>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</si>
  <si>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</si>
  <si>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</si>
  <si>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</si>
  <si>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</si>
  <si>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</si>
  <si>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</si>
  <si>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</si>
  <si>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</si>
  <si>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</si>
  <si>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</si>
  <si>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</si>
  <si>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</si>
  <si>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</si>
  <si>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</si>
  <si>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</si>
  <si>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</si>
  <si>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</si>
  <si>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</si>
  <si>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</si>
  <si>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</si>
  <si>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</si>
  <si>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</si>
  <si>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</si>
  <si>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</si>
  <si>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</si>
  <si>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</si>
  <si>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</si>
  <si>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</si>
  <si>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</si>
  <si>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</si>
  <si>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</si>
  <si>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</si>
  <si>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</si>
  <si>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</si>
  <si>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</si>
  <si>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</si>
  <si>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</si>
  <si>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</si>
  <si>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</si>
  <si>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</si>
  <si>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</si>
  <si>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</si>
  <si>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</si>
  <si>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</si>
  <si>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</si>
  <si>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</si>
  <si>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</si>
  <si>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</si>
  <si>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</si>
  <si>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</si>
  <si>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</si>
  <si>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</si>
  <si>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</si>
  <si>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</si>
  <si>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</si>
  <si>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</si>
  <si>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</si>
  <si>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</si>
  <si>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</si>
  <si>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</si>
  <si>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</si>
  <si>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</si>
  <si>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</si>
  <si>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</si>
  <si>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</si>
  <si>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</si>
  <si>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</si>
  <si>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</si>
  <si>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</si>
  <si>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</si>
  <si>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</si>
  <si>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</si>
  <si>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</si>
  <si>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</si>
  <si>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</si>
  <si>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</si>
  <si>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</si>
  <si>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</si>
  <si>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</si>
  <si>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</si>
  <si>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</si>
  <si>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</si>
  <si>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</si>
  <si>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</si>
  <si>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</si>
  <si>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</si>
  <si>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</si>
  <si>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</si>
  <si>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</si>
  <si>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</si>
  <si>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</si>
  <si>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</si>
  <si>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</si>
  <si>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</si>
  <si>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</si>
  <si>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</si>
  <si>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</si>
  <si>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</si>
  <si>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</si>
  <si>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</si>
  <si>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</si>
  <si>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</si>
  <si>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</si>
  <si>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</si>
  <si>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</si>
  <si>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</si>
  <si>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</si>
  <si>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</si>
  <si>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</si>
  <si>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</si>
  <si>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</si>
  <si>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</si>
  <si>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</si>
  <si>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</si>
  <si>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</si>
  <si>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</si>
  <si>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</si>
  <si>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</si>
  <si>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</si>
  <si>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</si>
  <si>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</si>
  <si>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</si>
  <si>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</si>
  <si>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</si>
  <si>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</si>
  <si>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</si>
  <si>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</si>
  <si>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</si>
  <si>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</si>
  <si>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</si>
  <si>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</si>
  <si>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</si>
  <si>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</si>
  <si>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</si>
  <si>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</si>
  <si>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</si>
  <si>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</si>
  <si>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</si>
  <si>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</si>
  <si>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</si>
  <si>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</si>
  <si>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</si>
  <si>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</si>
  <si>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</si>
  <si>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</si>
  <si>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</si>
  <si>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</si>
  <si>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</si>
  <si>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</si>
  <si>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</si>
  <si>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</si>
  <si>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</si>
  <si>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</si>
  <si>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</si>
  <si>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</si>
  <si>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</si>
  <si>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</si>
  <si>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</si>
  <si>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</si>
  <si>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</si>
  <si>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</si>
  <si>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</si>
  <si>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</si>
  <si>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</si>
  <si>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</si>
  <si>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</si>
  <si>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</si>
  <si>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</si>
  <si>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</si>
  <si>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</si>
  <si>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</si>
  <si>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</si>
  <si>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</si>
  <si>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</si>
  <si>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</si>
  <si>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</si>
  <si>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</si>
  <si>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</si>
  <si>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</si>
  <si>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</si>
  <si>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</si>
  <si>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</si>
  <si>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</si>
  <si>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</si>
  <si>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</si>
  <si>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</si>
  <si>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</si>
  <si>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</si>
  <si>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</si>
  <si>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</si>
  <si>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</si>
  <si>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</si>
  <si>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</si>
  <si>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</si>
  <si>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</si>
  <si>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</si>
  <si>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</si>
  <si>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</si>
  <si>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</si>
  <si>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</si>
  <si>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</si>
  <si>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</si>
  <si>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</si>
  <si>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</si>
  <si>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</si>
  <si>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</si>
  <si>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</si>
  <si>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</si>
  <si>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</si>
  <si>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</si>
  <si>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</si>
  <si>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</si>
  <si>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</si>
  <si>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</si>
  <si>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</si>
  <si>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</si>
  <si>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</si>
  <si>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</si>
  <si>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</si>
  <si>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</si>
  <si>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</si>
  <si>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</si>
  <si>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</si>
  <si>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</si>
  <si>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</si>
  <si>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</si>
  <si>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</si>
  <si>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</si>
  <si>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</si>
  <si>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</si>
  <si>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</si>
  <si>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</si>
  <si>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</si>
  <si>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</si>
  <si>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</si>
  <si>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</si>
  <si>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</si>
  <si>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</si>
  <si>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</si>
  <si>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</si>
  <si>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</si>
  <si>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</si>
  <si>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</si>
  <si>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</si>
  <si>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</si>
  <si>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</si>
  <si>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</si>
  <si>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</si>
  <si>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</si>
  <si>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</si>
  <si>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</si>
  <si>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</si>
  <si>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</si>
  <si>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</si>
  <si>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</si>
  <si>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</si>
  <si>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</si>
  <si>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</si>
  <si>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</si>
  <si>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</si>
  <si>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</si>
  <si>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</si>
  <si>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</si>
  <si>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</si>
  <si>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</si>
  <si>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</si>
  <si>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</si>
  <si>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</si>
  <si>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</si>
  <si>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</si>
  <si>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</si>
  <si>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</si>
  <si>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</si>
  <si>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</si>
  <si>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</si>
  <si>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</si>
  <si>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</si>
  <si>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</si>
  <si>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</si>
  <si>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</si>
  <si>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</si>
  <si>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</si>
  <si>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</si>
  <si>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</si>
  <si>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</si>
  <si>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</si>
  <si>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</si>
  <si>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</si>
  <si>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</si>
  <si>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</si>
  <si>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</si>
  <si>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</si>
  <si>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</si>
  <si>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</si>
  <si>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</si>
  <si>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</si>
  <si>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</si>
  <si>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</si>
  <si>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</si>
  <si>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</si>
  <si>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</si>
  <si>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</si>
  <si>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</si>
  <si>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</si>
  <si>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</si>
  <si>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</si>
  <si>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</si>
  <si>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</si>
  <si>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</si>
  <si>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</si>
  <si>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</si>
  <si>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</si>
  <si>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</si>
  <si>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</si>
  <si>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</si>
  <si>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</si>
  <si>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</si>
  <si>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</si>
  <si>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</si>
  <si>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</si>
  <si>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</si>
  <si>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</si>
  <si>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</si>
  <si>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</si>
  <si>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</si>
  <si>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</si>
  <si>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</si>
  <si>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</si>
  <si>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</si>
  <si>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</si>
  <si>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</si>
  <si>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</si>
  <si>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</si>
  <si>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</si>
  <si>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</si>
  <si>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</si>
  <si>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</si>
  <si>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</si>
  <si>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</si>
  <si>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</si>
  <si>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</si>
  <si>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</si>
  <si>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</si>
  <si>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</si>
  <si>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</si>
  <si>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</si>
  <si>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</si>
  <si>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</si>
  <si>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</si>
  <si>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</si>
  <si>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</si>
  <si>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</si>
  <si>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</si>
  <si>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</si>
  <si>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</si>
  <si>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</si>
  <si>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</si>
  <si>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</si>
  <si>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</si>
  <si>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</si>
  <si>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</si>
  <si>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</si>
  <si>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</si>
  <si>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</si>
  <si>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</si>
  <si>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</si>
  <si>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</si>
  <si>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</si>
  <si>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</si>
  <si>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</si>
  <si>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</si>
  <si>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</si>
  <si>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</si>
  <si>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</si>
  <si>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</si>
  <si>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</si>
  <si>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</si>
  <si>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</si>
  <si>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</si>
  <si>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</si>
  <si>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</si>
  <si>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</si>
  <si>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</si>
  <si>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</si>
  <si>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</si>
  <si>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</si>
  <si>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</si>
  <si>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</si>
  <si>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</si>
  <si>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</si>
  <si>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</si>
  <si>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</si>
  <si>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</si>
  <si>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</si>
  <si>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</si>
  <si>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</si>
  <si>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</si>
  <si>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</si>
  <si>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</si>
  <si>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</si>
  <si>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</si>
  <si>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</si>
  <si>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</si>
  <si>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</si>
  <si>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</si>
  <si>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</si>
  <si>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</si>
  <si>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</si>
  <si>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</si>
  <si>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</si>
  <si>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</si>
  <si>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</si>
  <si>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</si>
  <si>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</si>
  <si>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</si>
  <si>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</si>
  <si>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</si>
  <si>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</si>
  <si>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</si>
  <si>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</si>
  <si>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</si>
  <si>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</si>
  <si>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</si>
  <si>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</si>
  <si>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</si>
  <si>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</si>
  <si>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</si>
  <si>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</si>
  <si>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</si>
  <si>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</si>
  <si>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</si>
  <si>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</si>
  <si>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</si>
  <si>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</si>
  <si>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</si>
  <si>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</si>
  <si>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</si>
  <si>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</si>
  <si>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</si>
  <si>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</si>
  <si>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</si>
  <si>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</si>
  <si>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</si>
  <si>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</si>
  <si>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</si>
  <si>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</si>
  <si>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</si>
  <si>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</si>
  <si>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</si>
  <si>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</si>
  <si>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</si>
  <si>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</si>
  <si>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</si>
  <si>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</si>
  <si>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</si>
  <si>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</si>
  <si>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</si>
  <si>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</si>
  <si>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</si>
  <si>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</si>
  <si>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</si>
  <si>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</si>
  <si>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</si>
  <si>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</si>
  <si>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</si>
  <si>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</si>
  <si>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</si>
  <si>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</si>
  <si>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</si>
  <si>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</si>
  <si>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</si>
  <si>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</si>
  <si>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</si>
  <si>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</si>
  <si>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</si>
  <si>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</si>
  <si>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</si>
  <si>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</si>
  <si>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</si>
  <si>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</si>
  <si>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</si>
  <si>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</si>
  <si>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</si>
  <si>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</si>
  <si>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</si>
  <si>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</si>
  <si>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</si>
  <si>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</si>
  <si>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</si>
  <si>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</si>
  <si>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</si>
  <si>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</si>
  <si>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</si>
  <si>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</si>
  <si>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</si>
  <si>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</si>
  <si>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</si>
  <si>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</si>
  <si>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</si>
  <si>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</si>
  <si>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</si>
  <si>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</si>
  <si>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</si>
  <si>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</si>
  <si>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</si>
  <si>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</si>
  <si>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</si>
  <si>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</si>
  <si>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</si>
  <si>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</si>
  <si>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</si>
  <si>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</si>
  <si>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</si>
  <si>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</si>
  <si>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</si>
  <si>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</si>
  <si>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</si>
  <si>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</si>
  <si>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</si>
  <si>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</si>
  <si>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</si>
  <si>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</si>
  <si>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</si>
  <si>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</si>
  <si>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</si>
  <si>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</si>
  <si>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</si>
  <si>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</si>
  <si>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</si>
  <si>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</si>
  <si>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</si>
  <si>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</si>
  <si>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</si>
  <si>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</si>
  <si>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</si>
  <si>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</si>
  <si>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</si>
  <si>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</si>
  <si>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</si>
  <si>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</si>
  <si>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</si>
  <si>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</si>
  <si>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</si>
  <si>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</si>
  <si>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</si>
  <si>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</si>
  <si>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</si>
  <si>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</si>
  <si>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</si>
  <si>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</si>
  <si>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</si>
  <si>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</si>
  <si>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</si>
  <si>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</si>
  <si>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</si>
  <si>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</si>
  <si>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</si>
  <si>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</si>
  <si>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</si>
  <si>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</si>
  <si>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</si>
  <si>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</si>
  <si>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</si>
  <si>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</si>
  <si>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</si>
  <si>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</si>
  <si>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</si>
  <si>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</si>
  <si>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</si>
  <si>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</si>
  <si>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</si>
  <si>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</si>
  <si>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</si>
  <si>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</si>
  <si>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</si>
  <si>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</si>
  <si>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</si>
  <si>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</si>
  <si>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</si>
  <si>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</si>
  <si>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</si>
  <si>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</si>
  <si>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</si>
  <si>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</si>
  <si>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</si>
  <si>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</si>
  <si>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</si>
  <si>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</si>
  <si>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</si>
  <si>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</si>
  <si>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</si>
  <si>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</si>
  <si>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</si>
  <si>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</si>
  <si>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</si>
  <si>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</si>
  <si>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</si>
  <si>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</si>
  <si>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</si>
  <si>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</si>
  <si>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</si>
  <si>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</si>
  <si>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</si>
  <si>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</si>
  <si>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</si>
  <si>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</si>
  <si>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</si>
  <si>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</si>
  <si>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</si>
  <si>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</si>
  <si>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</si>
  <si>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</si>
  <si>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</si>
  <si>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</si>
  <si>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</si>
  <si>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</si>
  <si>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</si>
  <si>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</si>
  <si>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</si>
  <si>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</si>
  <si>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</si>
  <si>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</si>
  <si>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</si>
  <si>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</si>
  <si>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</si>
  <si>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</si>
  <si>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</si>
  <si>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</si>
  <si>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</si>
  <si>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</si>
  <si>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</si>
  <si>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</si>
  <si>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</si>
  <si>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</si>
  <si>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</si>
  <si>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</si>
  <si>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</si>
  <si>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</si>
  <si>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</si>
  <si>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</si>
  <si>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</si>
  <si>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</si>
  <si>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</si>
  <si>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</si>
  <si>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</si>
  <si>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</si>
  <si>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</si>
  <si>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</si>
  <si>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</si>
  <si>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</si>
  <si>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</si>
  <si>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</si>
  <si>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</si>
  <si>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</si>
  <si>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</si>
  <si>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</si>
  <si>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</si>
  <si>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</si>
  <si>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</si>
  <si>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</si>
  <si>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</si>
  <si>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</si>
  <si>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</si>
  <si>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</si>
  <si>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</si>
  <si>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</si>
  <si>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</si>
  <si>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</si>
  <si>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</si>
  <si>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</si>
  <si>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</si>
  <si>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</si>
  <si>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</si>
  <si>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</si>
  <si>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</si>
  <si>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</si>
  <si>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</si>
  <si>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</si>
  <si>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</si>
  <si>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</si>
  <si>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</si>
  <si>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</si>
  <si>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</si>
  <si>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</si>
  <si>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</si>
  <si>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</si>
  <si>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</si>
  <si>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</si>
  <si>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</si>
  <si>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</si>
  <si>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</si>
  <si>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</si>
  <si>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</si>
  <si>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</si>
  <si>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</si>
  <si>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</si>
  <si>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</si>
  <si>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</si>
  <si>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</si>
  <si>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</si>
  <si>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</si>
  <si>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</si>
  <si>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</si>
  <si>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</si>
  <si>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</si>
  <si>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</si>
  <si>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</si>
  <si>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</si>
  <si>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</si>
  <si>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</si>
  <si>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</si>
  <si>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</si>
  <si>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</si>
  <si>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</si>
  <si>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</si>
  <si>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</si>
  <si>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</si>
  <si>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</si>
  <si>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</si>
  <si>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</si>
  <si>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</si>
  <si>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</si>
  <si>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</si>
  <si>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</si>
  <si>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</si>
  <si>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</si>
  <si>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</si>
  <si>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</si>
  <si>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</si>
  <si>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</si>
  <si>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</si>
  <si>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</si>
  <si>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</si>
  <si>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</si>
  <si>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</si>
  <si>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</si>
  <si>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</si>
  <si>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</si>
  <si>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</si>
  <si>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</si>
  <si>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</si>
  <si>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</si>
  <si>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</si>
  <si>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</si>
  <si>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</si>
  <si>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</si>
  <si>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</si>
  <si>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</si>
  <si>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</si>
  <si>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</si>
  <si>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</si>
  <si>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</si>
  <si>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</si>
  <si>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</si>
  <si>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</si>
  <si>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</si>
  <si>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</si>
  <si>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</si>
  <si>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</si>
  <si>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</si>
  <si>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</si>
  <si>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</si>
  <si>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</si>
  <si>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</si>
  <si>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</si>
  <si>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</si>
  <si>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</si>
  <si>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</si>
  <si>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</si>
  <si>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</si>
  <si>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</si>
  <si>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</si>
  <si>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</si>
  <si>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</si>
  <si>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</si>
  <si>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</si>
  <si>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</si>
  <si>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</si>
  <si>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</si>
  <si>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</si>
  <si>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</si>
  <si>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</si>
  <si>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</si>
  <si>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</si>
  <si>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</si>
  <si>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</si>
  <si>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</si>
  <si>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</si>
  <si>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</si>
  <si>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</si>
  <si>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</si>
  <si>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</si>
  <si>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</si>
  <si>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</si>
  <si>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</si>
  <si>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</si>
  <si>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</si>
  <si>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</si>
  <si>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</si>
  <si>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</si>
  <si>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</si>
  <si>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</si>
  <si>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</si>
  <si>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</si>
  <si>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</si>
  <si>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</si>
  <si>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</si>
  <si>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</si>
  <si>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</si>
  <si>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</si>
  <si>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</si>
  <si>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</si>
  <si>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</si>
  <si>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</si>
  <si>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</si>
  <si>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</si>
  <si>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</si>
  <si>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</si>
  <si>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</si>
  <si>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</si>
  <si>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</si>
  <si>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</si>
  <si>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</si>
  <si>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</si>
  <si>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</si>
  <si>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</si>
  <si>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</si>
  <si>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</si>
  <si>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</si>
  <si>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</si>
  <si>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</si>
  <si>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</si>
  <si>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</si>
  <si>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</si>
  <si>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</si>
  <si>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</si>
  <si>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</si>
  <si>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</si>
  <si>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</si>
  <si>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</si>
  <si>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</si>
  <si>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</si>
  <si>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</si>
  <si>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</si>
  <si>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</si>
  <si>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</si>
  <si>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TERUEL</t>
  </si>
  <si>
    <t>Resumenes por Partidos Judiciales</t>
  </si>
  <si>
    <t>ALCAÑIZ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</si>
</sst>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ILI3PXLPz3YYf2crxxLgPRO5aQeuYIseQ2wnaXZ6OD6ls257BpedF0lRzQfNgv1uIXXSU4cOoy16I4OZKXBfA==" saltValue="6RVgHXhuQnJi3sa/7Bkw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11</v>
      </c>
      <c r="F10" s="226">
        <f>IF(ISNUMBER(Datos!K10),Datos!K10," - ")</f>
        <v>15</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19.454692556634306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11</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402</v>
      </c>
      <c r="D16" s="225">
        <f>IF(ISNUMBER(IF(D_I="SI",Datos!I16,Datos!I16+Datos!AC16)),IF(D_I="SI",Datos!I16,Datos!I16+Datos!AC16)," - ")</f>
        <v>391</v>
      </c>
      <c r="E16" s="226">
        <f>IF(ISNUMBER(IF(D_I="SI",Datos!J16,Datos!J16+Datos!AD16)),IF(D_I="SI",Datos!J16,Datos!J16+Datos!AD16)," - ")</f>
        <v>452</v>
      </c>
      <c r="F16" s="226">
        <f>IF(ISNUMBER(IF(D_I="SI",Datos!K16,Datos!K16+Datos!AE16)),IF(D_I="SI",Datos!K16,Datos!K16+Datos!AE16)," - ")</f>
        <v>508</v>
      </c>
      <c r="G16" s="1034" t="str">
        <f>IF(Datos!E16&lt;&gt;"",Datos!E16,Datos!D16)</f>
        <v>04</v>
      </c>
      <c r="H16" s="227">
        <f>IF(ISNUMBER(IF(D_I="SI",Datos!L16,Datos!L16+Datos!AF16)),IF(D_I="SI",Datos!L16,Datos!L16+Datos!AF16)," - ")</f>
        <v>346</v>
      </c>
      <c r="I16" s="1044" t="str">
        <f>IF(ISNUMBER(Datos!AS16/Datos!BM16),Datos!AS16/Datos!BM16," - ")</f>
        <v xml:space="preserve"> - </v>
      </c>
      <c r="J16" s="1045">
        <f>IF(ISNUMBER(Datos!BY16/Datos!CN16),Datos!BY16/Datos!CN16," - ")</f>
        <v>0</v>
      </c>
      <c r="K16" s="230">
        <f t="shared" si="3"/>
        <v>-0.13930348258706468</v>
      </c>
      <c r="L16" s="1025">
        <f>IF(ISNUMBER(NºAsuntos!I16/NºAsuntos!G16),(NºAsuntos!I16/NºAsuntos!G16)*11," - ")</f>
        <v>7.4921259842519685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23</v>
      </c>
      <c r="F17" s="226">
        <f>IF(ISNUMBER(IF(D_I="SI",Datos!K17,Datos!K17+Datos!AE17)),IF(D_I="SI",Datos!K17,Datos!K17+Datos!AE17)," - ")</f>
        <v>26</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-0.10714285714285714</v>
      </c>
      <c r="L17" s="1025">
        <f>IF(ISNUMBER(NºAsuntos!I17/NºAsuntos!G17),(NºAsuntos!I17/NºAsuntos!G17)*11," - ")</f>
        <v>10.576923076923077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430</v>
      </c>
      <c r="D18" s="1049">
        <f>SUBTOTAL(9,D15:D17)</f>
        <v>419</v>
      </c>
      <c r="E18" s="1050">
        <f>SUBTOTAL(9,E15:E17)</f>
        <v>475</v>
      </c>
      <c r="F18" s="1050">
        <f>SUBTOTAL(9,F15:F17)</f>
        <v>534</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444</v>
      </c>
      <c r="D19" s="1071">
        <f>SUBTOTAL(9,D9:D18)</f>
        <v>433</v>
      </c>
      <c r="E19" s="1072">
        <f>SUBTOTAL(9,E9:E18)</f>
        <v>486</v>
      </c>
      <c r="F19" s="1072">
        <f>SUBTOTAL(9,F9:F18)</f>
        <v>549</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CYBwKF5Ems5TYvFV4tlcaydzI4D660HVEGhNRH37L73rAWDTuN3Ms2QmvYZuGrshElZyRBuxDxKPUpumOnGxA==" saltValue="JOx5uxp8TIh32Dv+js5cl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H1BLwmR5byKbq4NEQwrbT7a4hTdAUQgnSDbEzSfW4FMHriT+TJ+WJbxFGZDQA+nPmZ7EW2kcs8Bb9XZFRoADg==" saltValue="iNsiar2PvqXT2Hz0Ooh8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11</v>
      </c>
      <c r="K10" s="181">
        <v>15</v>
      </c>
      <c r="L10" s="181">
        <v>10</v>
      </c>
      <c r="M10" s="181">
        <v>6</v>
      </c>
      <c r="N10" s="181">
        <v>4</v>
      </c>
      <c r="O10" s="181">
        <v>2</v>
      </c>
      <c r="P10" s="181">
        <v>3</v>
      </c>
      <c r="Q10" s="181">
        <v>0</v>
      </c>
      <c r="R10" s="181">
        <v>21</v>
      </c>
      <c r="S10" s="181">
        <v>7</v>
      </c>
      <c r="T10" s="181">
        <v>30</v>
      </c>
      <c r="U10" s="181">
        <v>24</v>
      </c>
      <c r="V10" s="181">
        <v>13</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7</v>
      </c>
      <c r="AZ10" s="129">
        <f t="shared" si="0"/>
        <v>30</v>
      </c>
      <c r="BA10" s="129">
        <f t="shared" si="0"/>
        <v>24</v>
      </c>
      <c r="BB10" s="129">
        <f t="shared" si="0"/>
        <v>13</v>
      </c>
      <c r="BC10" s="125">
        <f t="shared" si="0"/>
        <v>0</v>
      </c>
      <c r="BD10" s="126">
        <f>IF(ISNUMBER(BA10/AZ10),BA10/AZ10," - ")</f>
        <v>0.8</v>
      </c>
      <c r="BE10" s="127">
        <f>IF(ISNUMBER(BB10/BA10),BB10/BA10, " - ")</f>
        <v>0.54166666666666663</v>
      </c>
      <c r="BF10" s="127">
        <f>IF(ISNUMBER(BC10/BA10),BC10/BA10, " - ")</f>
        <v>0</v>
      </c>
      <c r="BG10" s="196">
        <f>IF(ISNUMBER((AY10+AZ10)/BA10),(AY10+AZ10)/BA10," - ")</f>
        <v>1.5416666666666667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1025</v>
      </c>
      <c r="J12" s="183">
        <v>631</v>
      </c>
      <c r="K12" s="183">
        <v>595</v>
      </c>
      <c r="L12" s="183">
        <v>1061</v>
      </c>
      <c r="M12" s="183">
        <v>175</v>
      </c>
      <c r="N12" s="183">
        <v>334</v>
      </c>
      <c r="O12" s="181">
        <v>350</v>
      </c>
      <c r="P12" s="183">
        <v>81</v>
      </c>
      <c r="Q12" s="183">
        <v>308</v>
      </c>
      <c r="R12" s="183">
        <v>953</v>
      </c>
      <c r="S12" s="183">
        <v>744</v>
      </c>
      <c r="T12" s="183">
        <v>702</v>
      </c>
      <c r="U12" s="183">
        <v>696</v>
      </c>
      <c r="V12" s="183">
        <v>750</v>
      </c>
      <c r="W12" s="183">
        <v>252</v>
      </c>
      <c r="X12" s="189">
        <v>146</v>
      </c>
      <c r="Y12" s="191">
        <v>10</v>
      </c>
      <c r="Z12" s="181">
        <v>45</v>
      </c>
      <c r="AA12" s="181">
        <v>23</v>
      </c>
      <c r="AB12" s="181">
        <v>32</v>
      </c>
      <c r="AC12" s="183">
        <v>0</v>
      </c>
      <c r="AD12" s="183">
        <v>0</v>
      </c>
      <c r="AE12" s="183">
        <v>0</v>
      </c>
      <c r="AF12" s="189">
        <v>0</v>
      </c>
      <c r="AG12" s="202">
        <v>16</v>
      </c>
      <c r="AH12" s="183">
        <v>32</v>
      </c>
      <c r="AI12" s="183">
        <v>35</v>
      </c>
      <c r="AJ12" s="203">
        <v>13</v>
      </c>
      <c r="AK12" s="182">
        <v>0</v>
      </c>
      <c r="AL12" s="183">
        <v>0</v>
      </c>
      <c r="AM12" s="183">
        <v>0</v>
      </c>
      <c r="AN12" s="189">
        <v>0</v>
      </c>
      <c r="AO12" s="259">
        <v>2</v>
      </c>
      <c r="AP12" s="155">
        <v>2</v>
      </c>
      <c r="AQ12" s="155">
        <v>2</v>
      </c>
      <c r="AR12" s="154">
        <v>2</v>
      </c>
      <c r="AS12" s="340" t="s">
        <v>801</v>
      </c>
      <c r="AT12" s="203"/>
      <c r="AU12" s="202"/>
      <c r="AV12" s="203"/>
      <c r="AW12" s="202"/>
      <c r="AX12" s="203"/>
      <c r="AY12" s="126">
        <f t="shared" si="1"/>
        <v>760</v>
      </c>
      <c r="AZ12" s="127">
        <f t="shared" si="1"/>
        <v>734</v>
      </c>
      <c r="BA12" s="127">
        <f t="shared" si="1"/>
        <v>731</v>
      </c>
      <c r="BB12" s="127">
        <f t="shared" si="1"/>
        <v>763</v>
      </c>
      <c r="BC12" s="125">
        <f>IF(ISNUMBER(X12),X12," - ")</f>
        <v>146</v>
      </c>
      <c r="BD12" s="126">
        <f t="shared" si="2"/>
        <v>0.99591280653950953</v>
      </c>
      <c r="BE12" s="127">
        <f t="shared" si="3"/>
        <v>1.0437756497948016</v>
      </c>
      <c r="BF12" s="127">
        <f t="shared" si="4"/>
        <v>0.19972640218878249</v>
      </c>
      <c r="BG12" s="196">
        <f t="shared" si="5"/>
        <v>2.0437756497948016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1039</v>
      </c>
      <c r="J13" s="184">
        <f t="shared" si="6"/>
        <v>642</v>
      </c>
      <c r="K13" s="184">
        <f t="shared" si="6"/>
        <v>610</v>
      </c>
      <c r="L13" s="184">
        <f t="shared" si="6"/>
        <v>1071</v>
      </c>
      <c r="M13" s="184">
        <f t="shared" si="6"/>
        <v>181</v>
      </c>
      <c r="N13" s="184">
        <f t="shared" si="6"/>
        <v>338</v>
      </c>
      <c r="O13" s="184">
        <f t="shared" si="6"/>
        <v>352</v>
      </c>
      <c r="P13" s="184">
        <f t="shared" si="6"/>
        <v>84</v>
      </c>
      <c r="Q13" s="184">
        <f t="shared" si="6"/>
        <v>308</v>
      </c>
      <c r="R13" s="184">
        <f t="shared" si="6"/>
        <v>974</v>
      </c>
      <c r="S13" s="184">
        <f t="shared" si="6"/>
        <v>751</v>
      </c>
      <c r="T13" s="184">
        <f t="shared" si="6"/>
        <v>732</v>
      </c>
      <c r="U13" s="184">
        <f t="shared" si="6"/>
        <v>720</v>
      </c>
      <c r="V13" s="184">
        <f t="shared" si="6"/>
        <v>763</v>
      </c>
      <c r="W13" s="184">
        <f t="shared" si="6"/>
        <v>252</v>
      </c>
      <c r="X13" s="184">
        <f t="shared" si="6"/>
        <v>149</v>
      </c>
      <c r="Y13" s="184">
        <f t="shared" si="6"/>
        <v>10</v>
      </c>
      <c r="Z13" s="184">
        <f t="shared" si="6"/>
        <v>45</v>
      </c>
      <c r="AA13" s="184">
        <f t="shared" si="6"/>
        <v>23</v>
      </c>
      <c r="AB13" s="184">
        <f t="shared" si="6"/>
        <v>32</v>
      </c>
      <c r="AC13" s="184">
        <f t="shared" si="6"/>
        <v>0</v>
      </c>
      <c r="AD13" s="184">
        <f t="shared" si="6"/>
        <v>0</v>
      </c>
      <c r="AE13" s="184">
        <f t="shared" si="6"/>
        <v>0</v>
      </c>
      <c r="AF13" s="184">
        <f>SUBTOTAL(9,AF9:AF12)</f>
        <v>0</v>
      </c>
      <c r="AG13" s="184">
        <f t="shared" ref="AG13:AT13" si="7">SUBTOTAL(9,AG8:AG12)</f>
        <v>16</v>
      </c>
      <c r="AH13" s="184">
        <f t="shared" si="7"/>
        <v>32</v>
      </c>
      <c r="AI13" s="184">
        <f t="shared" si="7"/>
        <v>35</v>
      </c>
      <c r="AJ13" s="184">
        <f t="shared" si="7"/>
        <v>13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767</v>
      </c>
      <c r="AZ13" s="184">
        <f>SUBTOTAL(9,AZ8:AZ12)</f>
        <v>764</v>
      </c>
      <c r="BA13" s="184">
        <f>SUBTOTAL(9,BA8:BA12)</f>
        <v>755</v>
      </c>
      <c r="BB13" s="184">
        <f>SUBTOTAL(9,BB8:BB12)</f>
        <v>776</v>
      </c>
      <c r="BC13" s="184">
        <f>SUBTOTAL(9,BC8:BC12)</f>
        <v>146</v>
      </c>
      <c r="BD13" s="205">
        <f>IF(ISNUMBER(BA13/AZ13),BA13/AZ13," - ")</f>
        <v>0.98821989528795806</v>
      </c>
      <c r="BE13" s="206">
        <f>IF(ISNUMBER(BB13/BA13),BB13/BA13, " - ")</f>
        <v>1.0278145695364238</v>
      </c>
      <c r="BF13" s="206">
        <f>IF(ISNUMBER(BC13/BA13),BC13/BA13, " - ")</f>
        <v>0.19337748344370861</v>
      </c>
      <c r="BG13" s="207">
        <f>IF(ISNUMBER((AY13+AZ13)/BA13),(AY13+AZ13)/BA13," - ")</f>
        <v>2.027814569536424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391</v>
      </c>
      <c r="J16" s="183">
        <v>452</v>
      </c>
      <c r="K16" s="183">
        <v>508</v>
      </c>
      <c r="L16" s="183">
        <v>346</v>
      </c>
      <c r="M16" s="183">
        <v>69</v>
      </c>
      <c r="N16" s="183">
        <v>326</v>
      </c>
      <c r="O16" s="181">
        <v>0</v>
      </c>
      <c r="P16" s="183">
        <v>21</v>
      </c>
      <c r="Q16" s="183">
        <v>10</v>
      </c>
      <c r="R16" s="183">
        <v>68</v>
      </c>
      <c r="S16" s="183">
        <v>310</v>
      </c>
      <c r="T16" s="183">
        <v>771</v>
      </c>
      <c r="U16" s="183">
        <v>829</v>
      </c>
      <c r="V16" s="183">
        <v>287</v>
      </c>
      <c r="W16" s="183">
        <v>72</v>
      </c>
      <c r="X16" s="189">
        <v>571</v>
      </c>
      <c r="Y16" s="202">
        <v>0</v>
      </c>
      <c r="Z16" s="183">
        <v>0</v>
      </c>
      <c r="AA16" s="183">
        <v>0</v>
      </c>
      <c r="AB16" s="183">
        <v>0</v>
      </c>
      <c r="AC16" s="183">
        <v>3</v>
      </c>
      <c r="AD16" s="183">
        <v>5</v>
      </c>
      <c r="AE16" s="183">
        <v>5</v>
      </c>
      <c r="AF16" s="189">
        <v>3</v>
      </c>
      <c r="AG16" s="202">
        <v>0</v>
      </c>
      <c r="AH16" s="183">
        <v>0</v>
      </c>
      <c r="AI16" s="183">
        <v>0</v>
      </c>
      <c r="AJ16" s="203">
        <v>0</v>
      </c>
      <c r="AK16" s="182">
        <v>0</v>
      </c>
      <c r="AL16" s="183">
        <v>8</v>
      </c>
      <c r="AM16" s="183">
        <v>7</v>
      </c>
      <c r="AN16" s="189">
        <v>1</v>
      </c>
      <c r="AO16" s="259">
        <v>2</v>
      </c>
      <c r="AP16" s="155">
        <v>2</v>
      </c>
      <c r="AQ16" s="155">
        <v>2</v>
      </c>
      <c r="AR16" s="155">
        <v>2</v>
      </c>
      <c r="AS16" s="340" t="s">
        <v>487</v>
      </c>
      <c r="AT16" s="203"/>
      <c r="AU16" s="202"/>
      <c r="AV16" s="203"/>
      <c r="AW16" s="202"/>
      <c r="AX16" s="203"/>
      <c r="AY16" s="126">
        <f t="shared" si="9"/>
        <v>310</v>
      </c>
      <c r="AZ16" s="127">
        <f t="shared" si="9"/>
        <v>771</v>
      </c>
      <c r="BA16" s="127">
        <f t="shared" si="9"/>
        <v>829</v>
      </c>
      <c r="BB16" s="127">
        <f t="shared" si="9"/>
        <v>287</v>
      </c>
      <c r="BC16" s="125">
        <f>IF(ISNUMBER(W16),W16," - ")</f>
        <v>72</v>
      </c>
      <c r="BD16" s="126">
        <f t="shared" ref="BD16" si="11">IF(ISNUMBER(BA16/AZ16),BA16/AZ16," - ")</f>
        <v>1.0752269779507133</v>
      </c>
      <c r="BE16" s="127">
        <f t="shared" ref="BE16" si="12">IF(ISNUMBER(BB16/BA16),BB16/BA16, " - ")</f>
        <v>0.34620024125452353</v>
      </c>
      <c r="BF16" s="127">
        <f t="shared" ref="BF16" si="13">IF(ISNUMBER(BC16/BA16),BC16/BA16, " - ")</f>
        <v>8.6851628468033779E-2</v>
      </c>
      <c r="BG16" s="196">
        <f t="shared" si="10"/>
        <v>1.3039806996381182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23</v>
      </c>
      <c r="K17" s="183">
        <v>26</v>
      </c>
      <c r="L17" s="183">
        <v>25</v>
      </c>
      <c r="M17" s="183">
        <v>4</v>
      </c>
      <c r="N17" s="183">
        <v>11</v>
      </c>
      <c r="O17" s="183">
        <v>0</v>
      </c>
      <c r="P17" s="183">
        <v>2</v>
      </c>
      <c r="Q17" s="183">
        <v>0</v>
      </c>
      <c r="R17" s="183">
        <v>2</v>
      </c>
      <c r="S17" s="183">
        <v>14</v>
      </c>
      <c r="T17" s="183">
        <v>33</v>
      </c>
      <c r="U17" s="183">
        <v>42</v>
      </c>
      <c r="V17" s="183">
        <v>5</v>
      </c>
      <c r="W17" s="183">
        <v>16</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v>
      </c>
      <c r="AZ17" s="129">
        <f t="shared" si="14"/>
        <v>33</v>
      </c>
      <c r="BA17" s="129">
        <f t="shared" si="14"/>
        <v>42</v>
      </c>
      <c r="BB17" s="129">
        <f t="shared" si="14"/>
        <v>5</v>
      </c>
      <c r="BC17" s="125">
        <f>IF(ISNUMBER(W17),W17," - ")</f>
        <v>16</v>
      </c>
      <c r="BD17" s="126">
        <f>IF(ISNUMBER(BA17/AZ17),BA17/AZ17," - ")</f>
        <v>1.2727272727272727</v>
      </c>
      <c r="BE17" s="127">
        <f>IF(ISNUMBER(BB17/BA17),BB17/BA17, " - ")</f>
        <v>0.11904761904761904</v>
      </c>
      <c r="BF17" s="127">
        <f>IF(ISNUMBER(BC17/BA17),BC17/BA17, " - ")</f>
        <v>0.38095238095238093</v>
      </c>
      <c r="BG17" s="196">
        <f>IF(ISNUMBER((AY17+AZ17)/BA17),(AY17+AZ17)/BA17," - ")</f>
        <v>1.1190476190476191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419</v>
      </c>
      <c r="J18" s="184">
        <f t="shared" si="15"/>
        <v>475</v>
      </c>
      <c r="K18" s="184">
        <f t="shared" si="15"/>
        <v>534</v>
      </c>
      <c r="L18" s="184">
        <f t="shared" si="15"/>
        <v>371</v>
      </c>
      <c r="M18" s="184">
        <f t="shared" si="15"/>
        <v>73</v>
      </c>
      <c r="N18" s="184">
        <f t="shared" si="15"/>
        <v>337</v>
      </c>
      <c r="O18" s="184">
        <f t="shared" si="15"/>
        <v>0</v>
      </c>
      <c r="P18" s="184">
        <f t="shared" si="15"/>
        <v>23</v>
      </c>
      <c r="Q18" s="184">
        <f t="shared" si="15"/>
        <v>10</v>
      </c>
      <c r="R18" s="184">
        <f t="shared" si="15"/>
        <v>70</v>
      </c>
      <c r="S18" s="184">
        <f t="shared" si="15"/>
        <v>324</v>
      </c>
      <c r="T18" s="184">
        <f t="shared" si="15"/>
        <v>804</v>
      </c>
      <c r="U18" s="184">
        <f t="shared" si="15"/>
        <v>871</v>
      </c>
      <c r="V18" s="184">
        <f t="shared" si="15"/>
        <v>292</v>
      </c>
      <c r="W18" s="184">
        <f t="shared" si="15"/>
        <v>88</v>
      </c>
      <c r="X18" s="184">
        <f t="shared" si="15"/>
        <v>590</v>
      </c>
      <c r="Y18" s="184">
        <f t="shared" si="15"/>
        <v>0</v>
      </c>
      <c r="Z18" s="184">
        <f t="shared" si="15"/>
        <v>0</v>
      </c>
      <c r="AA18" s="184">
        <f t="shared" si="15"/>
        <v>0</v>
      </c>
      <c r="AB18" s="184">
        <f t="shared" si="15"/>
        <v>0</v>
      </c>
      <c r="AC18" s="184">
        <f t="shared" si="15"/>
        <v>3</v>
      </c>
      <c r="AD18" s="184">
        <f t="shared" si="15"/>
        <v>5</v>
      </c>
      <c r="AE18" s="184">
        <f t="shared" si="15"/>
        <v>5</v>
      </c>
      <c r="AF18" s="184">
        <f t="shared" si="15"/>
        <v>3</v>
      </c>
      <c r="AG18" s="184">
        <f t="shared" si="15"/>
        <v>0</v>
      </c>
      <c r="AH18" s="184">
        <f t="shared" si="15"/>
        <v>0</v>
      </c>
      <c r="AI18" s="184">
        <f t="shared" si="15"/>
        <v>0</v>
      </c>
      <c r="AJ18" s="184">
        <f t="shared" si="15"/>
        <v>0</v>
      </c>
      <c r="AK18" s="184">
        <f t="shared" si="15"/>
        <v>0</v>
      </c>
      <c r="AL18" s="184">
        <f t="shared" si="15"/>
        <v>8</v>
      </c>
      <c r="AM18" s="184">
        <f t="shared" si="15"/>
        <v>7</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324</v>
      </c>
      <c r="AZ18" s="184">
        <f>SUBTOTAL(9,AZ14:AZ17)</f>
        <v>804</v>
      </c>
      <c r="BA18" s="184">
        <f>SUBTOTAL(9,BA14:BA17)</f>
        <v>871</v>
      </c>
      <c r="BB18" s="184">
        <f>SUBTOTAL(9,BB14:BB17)</f>
        <v>292</v>
      </c>
      <c r="BC18" s="184">
        <f>SUBTOTAL(9,BC14:BC17)</f>
        <v>88</v>
      </c>
      <c r="BD18" s="205">
        <f>IF(ISNUMBER(BA18/AZ18),BA18/AZ18," - ")</f>
        <v>1.0833333333333333</v>
      </c>
      <c r="BE18" s="206">
        <f>IF(ISNUMBER(BB18/BA18),BB18/BA18, " - ")</f>
        <v>0.33524684270952926</v>
      </c>
      <c r="BF18" s="206">
        <f>IF(ISNUMBER(BC18/BA18),BC18/BA18, " - ")</f>
        <v>0.1010332950631458</v>
      </c>
      <c r="BG18" s="207">
        <f>IF(ISNUMBER((AY18+AZ18)/BA18),(AY18+AZ18)/BA18," - ")</f>
        <v>1.2950631458094144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1458</v>
      </c>
      <c r="J19" s="134">
        <f t="shared" si="18"/>
        <v>1117</v>
      </c>
      <c r="K19" s="134">
        <f t="shared" si="18"/>
        <v>1144</v>
      </c>
      <c r="L19" s="134">
        <f t="shared" si="18"/>
        <v>1442</v>
      </c>
      <c r="M19" s="134">
        <f t="shared" si="18"/>
        <v>254</v>
      </c>
      <c r="N19" s="134">
        <f t="shared" si="18"/>
        <v>675</v>
      </c>
      <c r="O19" s="134">
        <f t="shared" si="18"/>
        <v>352</v>
      </c>
      <c r="P19" s="134">
        <f t="shared" si="18"/>
        <v>107</v>
      </c>
      <c r="Q19" s="134">
        <f t="shared" si="18"/>
        <v>318</v>
      </c>
      <c r="R19" s="134">
        <f t="shared" si="18"/>
        <v>1044</v>
      </c>
      <c r="S19" s="134">
        <f t="shared" si="18"/>
        <v>1075</v>
      </c>
      <c r="T19" s="134">
        <f t="shared" si="18"/>
        <v>1536</v>
      </c>
      <c r="U19" s="134">
        <f t="shared" si="18"/>
        <v>1591</v>
      </c>
      <c r="V19" s="134">
        <f t="shared" si="18"/>
        <v>1055</v>
      </c>
      <c r="W19" s="134">
        <f t="shared" si="18"/>
        <v>340</v>
      </c>
      <c r="X19" s="134">
        <f t="shared" si="18"/>
        <v>739</v>
      </c>
      <c r="Y19" s="134">
        <f t="shared" si="18"/>
        <v>10</v>
      </c>
      <c r="Z19" s="134">
        <f t="shared" si="18"/>
        <v>45</v>
      </c>
      <c r="AA19" s="134">
        <f t="shared" si="18"/>
        <v>23</v>
      </c>
      <c r="AB19" s="134">
        <f t="shared" si="18"/>
        <v>32</v>
      </c>
      <c r="AC19" s="134">
        <f t="shared" si="18"/>
        <v>3</v>
      </c>
      <c r="AD19" s="134">
        <f t="shared" si="18"/>
        <v>5</v>
      </c>
      <c r="AE19" s="134">
        <f t="shared" si="18"/>
        <v>5</v>
      </c>
      <c r="AF19" s="134">
        <f t="shared" si="18"/>
        <v>3</v>
      </c>
      <c r="AG19" s="134">
        <f t="shared" si="18"/>
        <v>16</v>
      </c>
      <c r="AH19" s="134">
        <f t="shared" si="18"/>
        <v>32</v>
      </c>
      <c r="AI19" s="134">
        <f t="shared" si="18"/>
        <v>35</v>
      </c>
      <c r="AJ19" s="134">
        <f t="shared" si="18"/>
        <v>13</v>
      </c>
      <c r="AK19" s="134">
        <f t="shared" si="18"/>
        <v>0</v>
      </c>
      <c r="AL19" s="134">
        <f t="shared" si="18"/>
        <v>8</v>
      </c>
      <c r="AM19" s="134">
        <f t="shared" si="18"/>
        <v>7</v>
      </c>
      <c r="AN19" s="210">
        <f t="shared" si="18"/>
        <v>1</v>
      </c>
      <c r="AO19" s="211">
        <v>3</v>
      </c>
      <c r="AP19" s="211">
        <v>2</v>
      </c>
      <c r="AQ19" s="211">
        <v>2</v>
      </c>
      <c r="AR19" s="211">
        <v>2</v>
      </c>
      <c r="AS19" s="153">
        <f t="shared" si="18"/>
        <v>0</v>
      </c>
      <c r="AT19" s="153">
        <f t="shared" si="18"/>
        <v>0</v>
      </c>
      <c r="AU19" s="211"/>
      <c r="AV19" s="212"/>
      <c r="AW19" s="211"/>
      <c r="AX19" s="212"/>
      <c r="AY19" s="133">
        <f>SUBTOTAL(9,AY9:AY18)</f>
        <v>1091</v>
      </c>
      <c r="AZ19" s="134">
        <f>SUBTOTAL(9,AZ9:AZ18)</f>
        <v>1568</v>
      </c>
      <c r="BA19" s="134">
        <f>SUBTOTAL(9,BA9:BA18)</f>
        <v>1626</v>
      </c>
      <c r="BB19" s="134">
        <f>SUBTOTAL(9,BB9:BB18)</f>
        <v>1068</v>
      </c>
      <c r="BC19" s="135">
        <f>SUBTOTAL(9,BC9:BC18)</f>
        <v>234</v>
      </c>
      <c r="BD19" s="213">
        <f>IF(ISNUMBER(BA19/AZ19),BA19/AZ19," - ")</f>
        <v>1.0369897959183674</v>
      </c>
      <c r="BE19" s="210">
        <f>IF(ISNUMBER(BB19/BA19),BB19/BA19, " - ")</f>
        <v>0.65682656826568264</v>
      </c>
      <c r="BF19" s="210">
        <f>IF(ISNUMBER(BC19/BA19),BC19/BA19, " - ")</f>
        <v>0.14391143911439114</v>
      </c>
      <c r="BG19" s="135">
        <f>IF(ISNUMBER((AY19+AZ19)/BA19),(AY19+AZ19)/BA19," - ")</f>
        <v>1.6353013530135301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5p5M53rtCTauSyv2NGjSE6Iojg5+fQuFc4w0Zd0vH57f6qblcjneNTPqNkt/IihvQtU7zG91PwUU7ckOIQIDg==" saltValue="1ZIA2dE+QtxCN+E+PAT1+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h8Wb+WJ1Dda8B8n1N8ctLPuGTnP4xcRLLD0NzHNfBpEo914icLDRCUJDeWNtSERGao1NEkeCrie35tbRbowTQ==" saltValue="mogG+i27PY4ux1GkgHb0l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10</v>
      </c>
      <c r="AG10" s="334"/>
      <c r="AH10" s="334"/>
      <c r="AI10" s="334"/>
      <c r="AJ10" s="334"/>
      <c r="AK10" s="334"/>
      <c r="AL10" s="479"/>
      <c r="AM10" s="335">
        <f>IF(ISNUMBER(Datos!R10),Datos!R10," - ")</f>
        <v>21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4</v>
      </c>
      <c r="BE10" s="229" t="str">
        <f>IF(ISNUMBER(Datos!BW10),Datos!BW10," - ")</f>
        <v xml:space="preserve"> - </v>
      </c>
      <c r="BF10" s="228" t="str">
        <f>IF(ISNUMBER(Datos!BX10),Datos!BX10," - ")</f>
        <v xml:space="preserve"> - </v>
      </c>
      <c r="BG10" s="243">
        <f>IF(ISNUMBER(Datos!K10/Datos!J10),Datos!K10/Datos!J10," - ")</f>
        <v>1.3636363636363635</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45</v>
      </c>
      <c r="O12" s="334"/>
      <c r="P12" s="334"/>
      <c r="Q12" s="226">
        <f>IF(ISNUMBER(Datos!P12),Datos!P12,0)</f>
        <v>81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953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175</v>
      </c>
      <c r="BD12" s="229">
        <f>IF(ISNUMBER(Datos!N12),Datos!N12," - ")</f>
        <v>334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0.91420118343195267</v>
      </c>
      <c r="BH12" s="260">
        <f>IF(ISNUMBER(((IF(J_V="SI",Datos!L12/Datos!K12,(Datos!L12+Datos!AB12)/(Datos!K12+Datos!AA12)))*11)/factor_trimestre),((IF(J_V="SI",Datos!L12/Datos!K12,(Datos!L12+Datos!AB12)/(Datos!K12+Datos!AA12)))*11)/factor_trimestre," - ")</f>
        <v>5.3058252427184476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-0.1923728813559322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45</v>
      </c>
      <c r="O13" s="900">
        <f t="shared" si="0"/>
        <v>0</v>
      </c>
      <c r="P13" s="900">
        <f t="shared" si="0"/>
        <v>0</v>
      </c>
      <c r="Q13" s="899">
        <f t="shared" si="0"/>
        <v>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308</v>
      </c>
      <c r="AD13" s="899">
        <f t="shared" si="1"/>
        <v>0</v>
      </c>
      <c r="AE13" s="899">
        <f t="shared" si="1"/>
        <v>0</v>
      </c>
      <c r="AF13" s="899">
        <f t="shared" si="1"/>
        <v>10</v>
      </c>
      <c r="AG13" s="899">
        <f t="shared" si="1"/>
        <v>0</v>
      </c>
      <c r="AH13" s="899">
        <f t="shared" si="1"/>
        <v>32</v>
      </c>
      <c r="AI13" s="899">
        <f t="shared" si="1"/>
        <v>0</v>
      </c>
      <c r="AJ13" s="899">
        <f t="shared" si="1"/>
        <v>0</v>
      </c>
      <c r="AK13" s="899">
        <f t="shared" si="1"/>
        <v>0</v>
      </c>
      <c r="AL13" s="899">
        <f t="shared" si="1"/>
        <v>0</v>
      </c>
      <c r="AM13" s="899">
        <f t="shared" si="1"/>
        <v>974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181</v>
      </c>
      <c r="BD13" s="899">
        <f t="shared" si="1"/>
        <v>338</v>
      </c>
      <c r="BE13" s="899">
        <f t="shared" si="1"/>
        <v>0</v>
      </c>
      <c r="BF13" s="899">
        <f t="shared" si="1"/>
        <v>0</v>
      </c>
      <c r="BG13" s="899">
        <f>IF(ISNUMBER(Datos!K13/Datos!J13),Datos!K13/Datos!J13," - ")</f>
        <v>0.95015576323987538</v>
      </c>
      <c r="BH13" s="903">
        <f>IF(ISNUMBER(((Datos!L13/Datos!K13)*11)/factor_trimestre),((Datos!L13/Datos!K13)*11)/factor_trimestre," - ")</f>
        <v>5.2672131147540986</v>
      </c>
      <c r="BI13" s="899">
        <f>IF(ISNUMBER('Resol  Asuntos'!D13/NºAsuntos!G13),'Resol  Asuntos'!D13/NºAsuntos!G13," - ")</f>
        <v>0.28593996840442337</v>
      </c>
      <c r="BJ13" s="899" t="str">
        <f>IF(ISNUMBER(Datos!CI13/Datos!CJ13),Datos!CI13/Datos!CJ13," - ")</f>
        <v xml:space="preserve"> - </v>
      </c>
      <c r="BK13" s="899">
        <f>SUBTOTAL(9,BK8:BK12)</f>
        <v>0</v>
      </c>
      <c r="BL13" s="899">
        <f>IF(ISNUMBER((I13-AB13+L13)/(F13)),(I13-AB13+L13)/(F13)," - ")</f>
        <v>-1.0714285714285714</v>
      </c>
      <c r="BM13" s="904">
        <f>SUBTOTAL(9,BM9:BM12)</f>
        <v>-2.5706214689265539E-2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402</v>
      </c>
      <c r="G16" s="598">
        <f>IF(ISNUMBER(IF(D_I="SI",Datos!I16,Datos!I16+Datos!AC16)),IF(D_I="SI",Datos!I16,Datos!I16+Datos!AC16)," - ")</f>
        <v>391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508</v>
      </c>
      <c r="AC16" s="226">
        <f>IF(ISNUMBER(Datos!Q16),Datos!Q16," - ")</f>
        <v>10</v>
      </c>
      <c r="AD16" s="334"/>
      <c r="AE16" s="484"/>
      <c r="AF16" s="596">
        <f>IF(ISNUMBER(IF(D_I="SI",Datos!L16,Datos!L16+Datos!AF16)),IF(D_I="SI",Datos!L16,Datos!L16+Datos!AF16)," - ")</f>
        <v>346</v>
      </c>
      <c r="AG16" s="334"/>
      <c r="AH16" s="334"/>
      <c r="AI16" s="334"/>
      <c r="AJ16" s="334"/>
      <c r="AK16" s="334"/>
      <c r="AL16" s="479"/>
      <c r="AM16" s="335">
        <f>IF(ISNUMBER(Datos!R16),Datos!R16," - ")</f>
        <v>68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69</v>
      </c>
      <c r="BD16" s="229">
        <f>IF(ISNUMBER(Datos!N16),Datos!N16," - ")</f>
        <v>326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1.1238938053097345</v>
      </c>
      <c r="BH16" s="260">
        <f>IF(ISNUMBER(((IF(D_I="SI",Datos!L16/Datos!K16,(Datos!L16+Datos!AF16)/(Datos!K16+Datos!AE16)))*11)/factor_trimestre),((IF(D_I="SI",Datos!L16/Datos!K16,(Datos!L16+Datos!AF16)/(Datos!K16+Datos!AE16)))*11)/factor_trimestre," - ")</f>
        <v>2.0433070866141732</v>
      </c>
      <c r="BI16" s="243">
        <f>IF(ISNUMBER('Resol  Asuntos'!D16/NºAsuntos!G16),'Resol  Asuntos'!D16/NºAsuntos!G16," - ")</f>
        <v>0.13582677165354332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25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1.1304347826086956</v>
      </c>
      <c r="BH17" s="260">
        <f>IF(ISNUMBER(((IF(D_I="SI",Datos!L17/Datos!K17,(Datos!L17+Datos!AF17)/(Datos!K17+Datos!AE17)))*11)/factor_trimestre),((IF(D_I="SI",Datos!L17/Datos!K17,(Datos!L17+Datos!AF17)/(Datos!K17+Datos!AE17)))*11)/factor_trimestre," - ")</f>
        <v>2.8846153846153846</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402</v>
      </c>
      <c r="G18" s="898">
        <f>SUBTOTAL(9,G15:G17)</f>
        <v>419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534</v>
      </c>
      <c r="AC18" s="899">
        <f t="shared" si="4"/>
        <v>10</v>
      </c>
      <c r="AD18" s="899">
        <f t="shared" si="4"/>
        <v>0</v>
      </c>
      <c r="AE18" s="899">
        <f t="shared" si="4"/>
        <v>0</v>
      </c>
      <c r="AF18" s="899">
        <f t="shared" si="4"/>
        <v>371</v>
      </c>
      <c r="AG18" s="899">
        <f t="shared" si="4"/>
        <v>0</v>
      </c>
      <c r="AH18" s="899">
        <f t="shared" si="4"/>
        <v>0</v>
      </c>
      <c r="AI18" s="899">
        <f t="shared" si="4"/>
        <v>0</v>
      </c>
      <c r="AJ18" s="899">
        <f t="shared" si="4"/>
        <v>0</v>
      </c>
      <c r="AK18" s="899">
        <f t="shared" si="4"/>
        <v>0</v>
      </c>
      <c r="AL18" s="899">
        <f t="shared" si="4"/>
        <v>0</v>
      </c>
      <c r="AM18" s="899">
        <f t="shared" si="4"/>
        <v>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v>
      </c>
      <c r="BD18" s="899">
        <f t="shared" si="4"/>
        <v>337</v>
      </c>
      <c r="BE18" s="899">
        <f t="shared" si="4"/>
        <v>0</v>
      </c>
      <c r="BF18" s="899">
        <f t="shared" si="4"/>
        <v>0</v>
      </c>
      <c r="BG18" s="899">
        <f>IF(ISNUMBER(Datos!K18/Datos!J18),Datos!K18/Datos!J18," - ")</f>
        <v>1.1242105263157895</v>
      </c>
      <c r="BH18" s="903">
        <f>IF(ISNUMBER(((Datos!L18/Datos!K18)*11)/factor_trimestre),((Datos!L18/Datos!K18)*11)/factor_trimestre," - ")</f>
        <v>2.0842696629213484</v>
      </c>
      <c r="BI18" s="899">
        <f>SUBTOTAL(9,BI15:BI17)</f>
        <v>0.28967292549969714</v>
      </c>
      <c r="BJ18" s="899">
        <f>SUBTOTAL(9,BJ15:BJ17)</f>
        <v>0</v>
      </c>
      <c r="BK18" s="899">
        <f>SUBTOTAL(9,BK15:BK17)</f>
        <v>0</v>
      </c>
      <c r="BL18" s="899">
        <f>IF(ISNUMBER((I18-AB18+L18)/(F18)),(I18-AB18+L18)/(F18)," - ")</f>
        <v>-1.3283582089552239</v>
      </c>
      <c r="BM18" s="905">
        <f>IF(ISNUMBER((Datos!P18-Datos!Q18)/(Datos!R18-Datos!P18+Datos!Q18)),(Datos!P18-Datos!Q18)/(Datos!R18-Datos!P18+Datos!Q18)," - ")</f>
        <v>0.22807017543859648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416</v>
      </c>
      <c r="G19" s="820">
        <f t="shared" si="6"/>
        <v>433</v>
      </c>
      <c r="H19" s="822">
        <f t="shared" si="6"/>
        <v>0</v>
      </c>
      <c r="I19" s="820">
        <f t="shared" si="6"/>
        <v>0</v>
      </c>
      <c r="J19" s="822">
        <f t="shared" si="6"/>
        <v>0</v>
      </c>
      <c r="K19" s="822">
        <f t="shared" si="6"/>
        <v>0</v>
      </c>
      <c r="L19" s="881">
        <f t="shared" si="6"/>
        <v>0</v>
      </c>
      <c r="M19" s="881">
        <f t="shared" si="6"/>
        <v>0</v>
      </c>
      <c r="N19" s="881">
        <f t="shared" si="6"/>
        <v>45</v>
      </c>
      <c r="O19" s="881">
        <f t="shared" si="6"/>
        <v>0</v>
      </c>
      <c r="P19" s="881">
        <f t="shared" si="6"/>
        <v>0</v>
      </c>
      <c r="Q19" s="822">
        <f t="shared" si="6"/>
        <v>107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549</v>
      </c>
      <c r="AC19" s="821">
        <f t="shared" si="7"/>
        <v>318</v>
      </c>
      <c r="AD19" s="821">
        <f t="shared" si="7"/>
        <v>0</v>
      </c>
      <c r="AE19" s="821">
        <f t="shared" si="7"/>
        <v>0</v>
      </c>
      <c r="AF19" s="828">
        <f t="shared" si="7"/>
        <v>381</v>
      </c>
      <c r="AG19" s="828">
        <f t="shared" si="7"/>
        <v>0</v>
      </c>
      <c r="AH19" s="828">
        <f t="shared" si="7"/>
        <v>32</v>
      </c>
      <c r="AI19" s="828">
        <f t="shared" si="7"/>
        <v>0</v>
      </c>
      <c r="AJ19" s="821">
        <f t="shared" si="7"/>
        <v>0</v>
      </c>
      <c r="AK19" s="828">
        <f t="shared" si="7"/>
        <v>0</v>
      </c>
      <c r="AL19" s="828">
        <f t="shared" si="7"/>
        <v>0</v>
      </c>
      <c r="AM19" s="828">
        <f t="shared" si="7"/>
        <v>1044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254</v>
      </c>
      <c r="BD19" s="820">
        <f t="shared" si="7"/>
        <v>675</v>
      </c>
      <c r="BE19" s="820">
        <f t="shared" si="7"/>
        <v>0</v>
      </c>
      <c r="BF19" s="830">
        <f t="shared" si="7"/>
        <v>0</v>
      </c>
      <c r="BG19" s="915">
        <f>IF(ISNUMBER(Datos!K19/Datos!J19),Datos!K19/Datos!J19," - ")</f>
        <v>1.0241718889883618</v>
      </c>
      <c r="BH19" s="915">
        <f>IF(ISNUMBER(((Datos!L19/Datos!K19)*11)/factor_trimestre),((Datos!L19/Datos!K19)*11)/factor_trimestre," - ")</f>
        <v>3.7814685314685317</v>
      </c>
      <c r="BI19" s="813">
        <f>IF(ISNUMBER(Datos!J19/Datos!I19),Datos!J19/Datos!I19," - ")</f>
        <v>0.76611796982167357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-1.3197115384615385</v>
      </c>
      <c r="BM19" s="889">
        <f>IF(ISNUMBER((Datos!P19-Datos!Q19+R19)/(Datos!R19-Datos!P19+Datos!Q19-R19)),(Datos!P19-Datos!Q19+R19)/(Datos!R19-Datos!P19+Datos!Q19-R19)," - ")</f>
        <v>-0.16812749003984065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224.0119044455748</v>
      </c>
      <c r="G21" s="552">
        <f>IF(ISNUMBER(STDEV(G8:G18)),STDEV(G8:G18),"-")</f>
        <v>211.91201004190395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275.32943903622078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78.124686666038329</v>
      </c>
      <c r="BD21" s="551"/>
      <c r="BE21" s="551">
        <f>IF(ISNUMBER(STDEV(BE8:BE18)),STDEV(BE8:BE18),"-")</f>
        <v>0</v>
      </c>
      <c r="BF21" s="556">
        <f>IF(ISNUMBER(STDEV(BF8:BF18)),STDEV(BF8:BF18),"-")</f>
        <v>0</v>
      </c>
      <c r="BG21" s="775">
        <f>IF(ISNUMBER(STDEV(BG8:BG18)),STDEV(BG8:BG18),"-")</f>
        <v>0.16034640948506046</v>
      </c>
      <c r="BH21" s="776">
        <f>IF(ISNUMBER(STDEV(BH8:BH18)),STDEV(BH8:BH18),"-")</f>
        <v>1.6003372392079176</v>
      </c>
      <c r="BI21" s="249">
        <f>IF(ISNUMBER(STDEV(BI8:BI18)),STDEV(BI8:BI18),"-")</f>
        <v>8.2884926121339908E-2</v>
      </c>
      <c r="BJ21" s="230" t="str">
        <f>IF(ISNUMBER(BL21/BM21),BL21/BM21," - ")</f>
        <v xml:space="preserve"> - </v>
      </c>
      <c r="BK21" s="575"/>
      <c r="BL21" s="559">
        <f>IF(ISNUMBER(STDEV(BL8:BL18)),STDEV(BL8:BL18),"-")</f>
        <v>0.18167668898289524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5aKIAK0YGpS3Amqj9jrWPlZ0suDL2L8gQsseRGWsMepB6muFUT6bIra0csRXy1E88d30ILUpUE9ukbrlrrlqCw==" saltValue="8oPb5WKR4ZmZLU4zcHKgv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TERUEL  Resumenes por Partidos Judiciales  ALCAÑIZ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10</v>
      </c>
      <c r="AB10" s="334"/>
      <c r="AC10" s="334"/>
      <c r="AD10" s="484"/>
      <c r="AE10" s="484">
        <f>IF(ISNUMBER(Datos!R10),Datos!R10," - ")</f>
        <v>21</v>
      </c>
      <c r="AF10" s="229" t="str">
        <f>IF(ISNUMBER(Datos!BV10),Datos!BV10," - ")</f>
        <v xml:space="preserve"> - </v>
      </c>
      <c r="AG10" s="225" t="str">
        <f>IF(ISNUMBER(Datos!DV10),Datos!DV10," - ")</f>
        <v xml:space="preserve"> - </v>
      </c>
      <c r="AH10" s="298"/>
      <c r="AI10" s="227"/>
      <c r="AJ10" s="225">
        <f>IF(ISNUMBER(Datos!M10),Datos!M10," - ")</f>
        <v>6</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308</v>
      </c>
      <c r="AA12" s="332" t="str">
        <f>IF(ISNUMBER(IF(J_V="SI",Datos!L12,Datos!L12+Datos!AB12)-IF(Monitorios="SI",Datos!CD12,0)),
                          IF(J_V="SI",Datos!L12,Datos!L12+Datos!AB12)-IF(Monitorios="SI",Datos!CD12,0),
                          " - ")</f>
        <v xml:space="preserve"> - </v>
      </c>
      <c r="AB12" s="334"/>
      <c r="AC12" s="334"/>
      <c r="AD12" s="484"/>
      <c r="AE12" s="484">
        <f>IF(ISNUMBER(Datos!R12),Datos!R12," - ")</f>
        <v>953</v>
      </c>
      <c r="AF12" s="229" t="str">
        <f>IF(ISNUMBER(Datos!BV12),Datos!BV12," - ")</f>
        <v xml:space="preserve"> - </v>
      </c>
      <c r="AG12" s="225" t="str">
        <f>IF(ISNUMBER(Datos!DV12),Datos!DV12," - ")</f>
        <v xml:space="preserve"> - </v>
      </c>
      <c r="AH12" s="298"/>
      <c r="AI12" s="227"/>
      <c r="AJ12" s="225">
        <f>IF(ISNUMBER(Datos!M12),Datos!M12," - ")</f>
        <v>175</v>
      </c>
      <c r="AK12" s="229">
        <f>IF(ISNUMBER(Datos!N12),Datos!N12," - ")</f>
        <v>334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5.3058252427184476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-0.1923728813559322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308</v>
      </c>
      <c r="AA13" s="900">
        <f t="shared" si="2"/>
        <v>10</v>
      </c>
      <c r="AB13" s="900">
        <f t="shared" si="2"/>
        <v>0</v>
      </c>
      <c r="AC13" s="900">
        <f t="shared" si="2"/>
        <v>0</v>
      </c>
      <c r="AD13" s="900">
        <f t="shared" si="2"/>
        <v>0</v>
      </c>
      <c r="AE13" s="900">
        <f t="shared" si="2"/>
        <v>974</v>
      </c>
      <c r="AF13" s="908">
        <f t="shared" si="2"/>
        <v>0</v>
      </c>
      <c r="AG13" s="908">
        <f t="shared" si="2"/>
        <v>0</v>
      </c>
      <c r="AH13" s="908">
        <f t="shared" si="2"/>
        <v>0</v>
      </c>
      <c r="AI13" s="908">
        <f t="shared" si="2"/>
        <v>0</v>
      </c>
      <c r="AJ13" s="908">
        <f t="shared" si="2"/>
        <v>181</v>
      </c>
      <c r="AK13" s="908">
        <f t="shared" si="2"/>
        <v>338</v>
      </c>
      <c r="AL13" s="908">
        <f t="shared" si="2"/>
        <v>0</v>
      </c>
      <c r="AM13" s="908">
        <f t="shared" si="2"/>
        <v>0</v>
      </c>
      <c r="AN13" s="908">
        <f t="shared" si="2"/>
        <v>0</v>
      </c>
      <c r="AO13" s="904">
        <f>IF(ISNUMBER(((NºAsuntos!I13/NºAsuntos!G13)*11)/factor_trimestre),((NºAsuntos!I13/NºAsuntos!G13)*11)/factor_trimestre," - ")</f>
        <v>5.2274881516587675</v>
      </c>
      <c r="AP13" s="910" t="str">
        <f>IF(ISNUMBER(Datos!CI13/Datos!CJ13),Datos!CI13/Datos!CJ13," - ")</f>
        <v xml:space="preserve"> - </v>
      </c>
      <c r="AQ13" s="928">
        <f t="shared" ref="AQ13:AV13" si="3">SUBTOTAL(9,AQ9:AQ12)</f>
        <v>0</v>
      </c>
      <c r="AR13" s="928">
        <f t="shared" si="3"/>
        <v>-2.5706214689265539E-2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402</v>
      </c>
      <c r="G16" s="225">
        <f>IF(ISNUMBER(IF(D_I="SI",Datos!I16,Datos!I16+Datos!AC16)),IF(D_I="SI",Datos!I16,Datos!I16+Datos!AC16)," - ")</f>
        <v>391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508</v>
      </c>
      <c r="Z16" s="619">
        <f>IF(ISNUMBER(Datos!Q16),Datos!Q16," - ")</f>
        <v>10</v>
      </c>
      <c r="AA16" s="332">
        <f>IF(ISNUMBER(IF(D_I="SI",Datos!L16,Datos!L16+Datos!AF16)),IF(D_I="SI",Datos!L16,Datos!L16+Datos!AF16)," - ")</f>
        <v>346</v>
      </c>
      <c r="AB16" s="334"/>
      <c r="AC16" s="334"/>
      <c r="AD16" s="484"/>
      <c r="AE16" s="484">
        <f>IF(ISNUMBER(Datos!R16),Datos!R16," - ")</f>
        <v>68</v>
      </c>
      <c r="AF16" s="229" t="str">
        <f>IF(ISNUMBER(Datos!BV16),Datos!BV16," - ")</f>
        <v xml:space="preserve"> - </v>
      </c>
      <c r="AG16" s="225"/>
      <c r="AH16" s="298"/>
      <c r="AI16" s="227"/>
      <c r="AJ16" s="225">
        <f>IF(ISNUMBER(Datos!M16),Datos!M16," - ")</f>
        <v>69</v>
      </c>
      <c r="AK16" s="229">
        <f>IF(ISNUMBER(Datos!N16),Datos!N16," - ")</f>
        <v>326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2.0433070866141732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25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2.8846153846153846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402</v>
      </c>
      <c r="G18" s="898">
        <f>SUBTOTAL(9,G15:G17)</f>
        <v>419</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534</v>
      </c>
      <c r="Z18" s="932">
        <f t="shared" si="5"/>
        <v>10</v>
      </c>
      <c r="AA18" s="932">
        <f t="shared" si="5"/>
        <v>371</v>
      </c>
      <c r="AB18" s="932">
        <f t="shared" si="5"/>
        <v>0</v>
      </c>
      <c r="AC18" s="932">
        <f t="shared" si="5"/>
        <v>0</v>
      </c>
      <c r="AD18" s="932">
        <f t="shared" si="5"/>
        <v>0</v>
      </c>
      <c r="AE18" s="932">
        <f t="shared" si="5"/>
        <v>70</v>
      </c>
      <c r="AF18" s="932">
        <f t="shared" si="5"/>
        <v>0</v>
      </c>
      <c r="AG18" s="932">
        <f t="shared" si="5"/>
        <v>0</v>
      </c>
      <c r="AH18" s="932">
        <f t="shared" si="5"/>
        <v>0</v>
      </c>
      <c r="AI18" s="932">
        <f t="shared" si="5"/>
        <v>0</v>
      </c>
      <c r="AJ18" s="932">
        <f t="shared" si="5"/>
        <v>73</v>
      </c>
      <c r="AK18" s="932">
        <f t="shared" si="5"/>
        <v>337</v>
      </c>
      <c r="AL18" s="932">
        <f t="shared" si="5"/>
        <v>0</v>
      </c>
      <c r="AM18" s="932">
        <f t="shared" si="5"/>
        <v>0</v>
      </c>
      <c r="AN18" s="932">
        <f t="shared" si="5"/>
        <v>0</v>
      </c>
      <c r="AO18" s="934">
        <f>IF(ISNUMBER(((NºAsuntos!I18/NºAsuntos!G18)*11)/factor_trimestre),((NºAsuntos!I18/NºAsuntos!G18)*11)/factor_trimestre," - ")</f>
        <v>2.0842696629213484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416</v>
      </c>
      <c r="G19" s="820">
        <f t="shared" si="7"/>
        <v>433</v>
      </c>
      <c r="H19" s="821">
        <f t="shared" si="7"/>
        <v>0</v>
      </c>
      <c r="I19" s="820">
        <f t="shared" si="7"/>
        <v>0</v>
      </c>
      <c r="J19" s="822">
        <f t="shared" si="7"/>
        <v>0</v>
      </c>
      <c r="K19" s="820">
        <f t="shared" si="7"/>
        <v>0</v>
      </c>
      <c r="L19" s="823">
        <f t="shared" si="7"/>
        <v>0</v>
      </c>
      <c r="M19" s="820">
        <f t="shared" si="7"/>
        <v>0</v>
      </c>
      <c r="N19" s="821">
        <f t="shared" si="7"/>
        <v>107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549</v>
      </c>
      <c r="Z19" s="827">
        <f t="shared" si="8"/>
        <v>318</v>
      </c>
      <c r="AA19" s="828">
        <f t="shared" si="8"/>
        <v>381</v>
      </c>
      <c r="AB19" s="828">
        <f t="shared" si="8"/>
        <v>0</v>
      </c>
      <c r="AC19" s="828">
        <f t="shared" si="8"/>
        <v>0</v>
      </c>
      <c r="AD19" s="829">
        <f t="shared" si="8"/>
        <v>0</v>
      </c>
      <c r="AE19" s="829">
        <f t="shared" si="8"/>
        <v>1044</v>
      </c>
      <c r="AF19" s="830">
        <f t="shared" si="8"/>
        <v>0</v>
      </c>
      <c r="AG19" s="831">
        <f t="shared" si="8"/>
        <v>0</v>
      </c>
      <c r="AH19" s="832">
        <f t="shared" si="8"/>
        <v>0</v>
      </c>
      <c r="AI19" s="830">
        <f t="shared" si="8"/>
        <v>0</v>
      </c>
      <c r="AJ19" s="820">
        <f t="shared" si="8"/>
        <v>254</v>
      </c>
      <c r="AK19" s="820">
        <f t="shared" si="8"/>
        <v>675</v>
      </c>
      <c r="AL19" s="820">
        <f t="shared" si="8"/>
        <v>0</v>
      </c>
      <c r="AM19" s="833">
        <f t="shared" si="8"/>
        <v>0</v>
      </c>
      <c r="AN19" s="823">
        <f>IF(ISNUMBER(Datos!K19/Datos!J19),Datos!K19/Datos!J19," - ")</f>
        <v>1.0241718889883618</v>
      </c>
      <c r="AO19" s="823">
        <f>IF(ISNUMBER(FIND("06",Criterios!A8,1)),(IF(ISNUMBER(((Datos!R19/Datos!Q19)*11)/factor_trimestre),((Datos!R19/Datos!Q19)*11)/factor_trimestre," - ")),(IF(ISNUMBER(((Datos!L19/Datos!K19)*11)/factor_trimestre),((Datos!L19/Datos!K19)*11)/factor_trimestre," - ")))</f>
        <v>3.7814685314685317</v>
      </c>
      <c r="AP19" s="834" t="str">
        <f>IF(ISNUMBER(Datos!CI19/Datos!CJ19),Datos!CI19/Datos!CJ19," - ")</f>
        <v xml:space="preserve"> - </v>
      </c>
      <c r="AQ19" s="834">
        <f>IF(OR(ISNUMBER(FIND("01",Criterios!A8,1)),ISNUMBER(FIND("02",Criterios!A8,1)),ISNUMBER(FIND("03",Criterios!A8,1)),ISNUMBER(FIND("04",Criterios!A8,1))),(J19-Y19+K19)/(F19-K19),(I19-Y19+K19)/(F19-K19))</f>
        <v>-1.3197115384615385</v>
      </c>
      <c r="AR19" s="834">
        <f>IF(ISNUMBER((Datos!P19-Datos!Q19+O19)/(Datos!R19-Datos!P19+Datos!Q19-O19)),(Datos!P19-Datos!Q19+O19)/(Datos!R19-Datos!P19+Datos!Q19-O19)," - ")</f>
        <v>-0.16812749003984065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224.0119044455748</v>
      </c>
      <c r="G21" s="552">
        <f>IF(ISNUMBER(STDEV(G8:G18)),STDEV(G8:G18),"-")</f>
        <v>211.91201004190395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78.124686666038329</v>
      </c>
      <c r="AK21" s="252"/>
      <c r="AL21" s="252">
        <f>IF(ISNUMBER(STDEV(AL8:AL18)),STDEV(AL8:AL18),"-")</f>
        <v>0</v>
      </c>
      <c r="AM21" s="254">
        <f>IF(ISNUMBER(STDEV(AM8:AM18)),STDEV(AM8:AM18),"-")</f>
        <v>0</v>
      </c>
      <c r="AN21" s="539">
        <f>IF(ISNUMBER(STDEV(AN8:AN18)),STDEV(AN8:AN18),"-")</f>
        <v>0</v>
      </c>
      <c r="AO21" s="540">
        <f>IF(ISNUMBER(STDEV(AO8:AO18)),STDEV(AO8:AO18),"-")</f>
        <v>1.590444756424374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X7BNxL6We6vjopgEhc+3W8mXMVCM+y35SQEZQJxw9rJQdUeSn5/wraDavv7Hxe+bfirGHpGXNd4tuPDygootg==" saltValue="QItKQwOH6nsWA12vUzpdX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JVHiGGo/z8ax29f7wmMXQ0waIYk+qzrmKjfasxa/JhxzuoqhLY0KyM0kURRpRNe66IXCQunExwl4jFOLaX6Ww==" saltValue="yJG0w5JXrdyfiwFviAVR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TERUEL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Hz+q6s5EJJo7glB2KjMRcb+1bFLPsJ3qc1Uorc/dsVnwBdxdRkDRLbLZZpPuS6QtmRJCstYpZczJnIiicXgiA==" saltValue="gMYxQhJZdNkkuIQOZM0er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TERUEL  Resumenes por Partidos Judiciales  ALCAÑIZ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0.28593996840442337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0.20219009067103491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gExEvPFwg2UgasYLANKIvNA22YC+UEw4RgFAEcAsES9xwVrCaTK/Q16D28RKyEcILTEM8t+jsUcrFFU5KX8nHA==" saltValue="8LT44pLGpUKfwFxisecmI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pV92MQx/uVFpAq9V+C5/9PqZIuExD2gp9snjwKAZjmPjEU9hvc6KJnrONjpWi5oc1ZvZiwWAYRf2rS7e+61Sg==" saltValue="mvKsPsYGsnJIOB7zfoqV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TERUEL</v>
      </c>
      <c r="D3" s="375"/>
      <c r="E3" s="375"/>
      <c r="F3" s="375"/>
      <c r="BQ3" s="471"/>
    </row>
    <row r="4" spans="1:69" ht="13.5" thickBot="1">
      <c r="A4" s="375"/>
      <c r="B4" s="391" t="str">
        <f>Criterios!A11 &amp;"  "&amp;Criterios!B11</f>
        <v>Resumenes por Partidos Judiciales  ALCAÑIZ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11</v>
      </c>
      <c r="F10" s="404">
        <f>IF(ISNUMBER(E10/B10),E10/B10," - ")</f>
        <v>11</v>
      </c>
      <c r="G10" s="403">
        <f>IF(ISNUMBER(Datos!K10),Datos!K10," - ")</f>
        <v>15</v>
      </c>
      <c r="H10" s="404">
        <f>IF(ISNUMBER(G10/B10),G10/B10," - ")</f>
        <v>15</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1035</v>
      </c>
      <c r="D12" s="404">
        <f>IF(ISNUMBER(C12/Datos!BH12),C12/Datos!BH12," - ")</f>
        <v>517.5</v>
      </c>
      <c r="E12" s="403">
        <f>IF(ISNUMBER(IF(J_V="SI",Datos!J12,Datos!J12+Datos!Z12)),IF(J_V="SI",Datos!J12,Datos!J12+Datos!Z12)," - ")</f>
        <v>676</v>
      </c>
      <c r="F12" s="404">
        <f>IF(ISNUMBER(E12/B12),E12/B12," - ")</f>
        <v>338</v>
      </c>
      <c r="G12" s="403">
        <f>IF(ISNUMBER(IF(J_V="SI",Datos!K12,Datos!K12+Datos!AA12)),IF(J_V="SI",Datos!K12,Datos!K12+Datos!AA12)," - ")</f>
        <v>618</v>
      </c>
      <c r="H12" s="404">
        <f>IF(ISNUMBER(G12/B12),G12/B12," - ")</f>
        <v>309</v>
      </c>
      <c r="I12" s="403">
        <f>IF(ISNUMBER(IF(J_V="SI",Datos!L12,Datos!L12+Datos!AB12)),IF(J_V="SI",Datos!L12,Datos!L12+Datos!AB12)," - ")</f>
        <v>1093</v>
      </c>
      <c r="J12" s="404">
        <f>IF(ISNUMBER(I12/B12),I12/B12," - ")</f>
        <v>546.5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1049</v>
      </c>
      <c r="D13" s="850" t="str">
        <f>IF(ISNUMBER(C13/Datos!BI13),C13/Datos!BI13," - ")</f>
        <v xml:space="preserve"> - </v>
      </c>
      <c r="E13" s="849">
        <f>SUBTOTAL(9,E8:E12)</f>
        <v>687</v>
      </c>
      <c r="F13" s="850">
        <f>IF(ISNUMBER(E13/B13),E13/B13," - ")</f>
        <v>343.5</v>
      </c>
      <c r="G13" s="849">
        <f>SUBTOTAL(9,G8:G12)</f>
        <v>633</v>
      </c>
      <c r="H13" s="850">
        <f>IF(ISNUMBER(G13/B13),G13/B13," - ")</f>
        <v>316.5</v>
      </c>
      <c r="I13" s="849">
        <f>SUBTOTAL(9,I8:I12)</f>
        <v>1103</v>
      </c>
      <c r="J13" s="850">
        <f>IF(ISNUMBER(I13/B13),I13/B13," - ")</f>
        <v>551.5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391</v>
      </c>
      <c r="D16" s="404">
        <f>IF(ISNUMBER(C16/Datos!BH16),C16/Datos!BH16," - ")</f>
        <v>195.5</v>
      </c>
      <c r="E16" s="403">
        <f>IF(ISNUMBER(IF(D_I="SI",Datos!J16,Datos!J16+Datos!AD16)),IF(D_I="SI",Datos!J16,Datos!J16+Datos!AD16)," - ")</f>
        <v>452</v>
      </c>
      <c r="F16" s="404">
        <f>IF(ISNUMBER(E16/B16),E16/B16," - ")</f>
        <v>226</v>
      </c>
      <c r="G16" s="403">
        <f>IF(ISNUMBER(IF(D_I="SI",Datos!K16,Datos!K16+Datos!AE16)),IF(D_I="SI",Datos!K16,Datos!K16+Datos!AE16)," - ")</f>
        <v>508</v>
      </c>
      <c r="H16" s="404">
        <f>IF(ISNUMBER(G16/B16),G16/B16," - ")</f>
        <v>254</v>
      </c>
      <c r="I16" s="403">
        <f>IF(ISNUMBER(IF(D_I="SI",Datos!L16,Datos!L16+Datos!AF16)),IF(D_I="SI",Datos!L16,Datos!L16+Datos!AF16)," - ")</f>
        <v>346</v>
      </c>
      <c r="J16" s="404">
        <f>IF(ISNUMBER(I16/B16),I16/B16," - ")</f>
        <v>173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23</v>
      </c>
      <c r="F17" s="404">
        <f>IF(ISNUMBER(E17/B17),E17/B17," - ")</f>
        <v>23</v>
      </c>
      <c r="G17" s="403">
        <f>IF(ISNUMBER(IF(D_I="SI",Datos!K17,Datos!K17+Datos!AE17)),IF(D_I="SI",Datos!K17,Datos!K17+Datos!AE17)," - ")</f>
        <v>26</v>
      </c>
      <c r="H17" s="404">
        <f>IF(ISNUMBER(G17/B17),G17/B17," - ")</f>
        <v>26</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419</v>
      </c>
      <c r="D18" s="850" t="str">
        <f>IF(ISNUMBER(C18/Datos!BI18),C18/Datos!BI18," - ")</f>
        <v xml:space="preserve"> - </v>
      </c>
      <c r="E18" s="849">
        <f>SUBTOTAL(9,E14:E17)</f>
        <v>475</v>
      </c>
      <c r="F18" s="850">
        <f>IF(ISNUMBER(E18/B18),E18/B18," - ")</f>
        <v>237.5</v>
      </c>
      <c r="G18" s="849">
        <f>SUBTOTAL(9,G14:G17)</f>
        <v>534</v>
      </c>
      <c r="H18" s="850">
        <f>IF(ISNUMBER(G18/B18),G18/B18," - ")</f>
        <v>267</v>
      </c>
      <c r="I18" s="849">
        <f>SUBTOTAL(9,I14:I17)</f>
        <v>371</v>
      </c>
      <c r="J18" s="850">
        <f>IF(ISNUMBER(I18/B18),I18/B18," - ")</f>
        <v>185.5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1468</v>
      </c>
      <c r="D19" s="795" t="str">
        <f>IF(ISNUMBER(C19/Datos!BI19),C19/Datos!BI19," - ")</f>
        <v xml:space="preserve"> - </v>
      </c>
      <c r="E19" s="794">
        <f>SUBTOTAL(9,E9:E18)</f>
        <v>1162</v>
      </c>
      <c r="F19" s="795">
        <f>IF(ISNUMBER(E19/B19),E19/B19," - ")</f>
        <v>581</v>
      </c>
      <c r="G19" s="794">
        <f>SUBTOTAL(9,G9:G18)</f>
        <v>1167</v>
      </c>
      <c r="H19" s="795">
        <f>IF(ISNUMBER(G19/B19),G19/B19," - ")</f>
        <v>583.5</v>
      </c>
      <c r="I19" s="794">
        <f>SUBTOTAL(9,I9:I18)</f>
        <v>1474</v>
      </c>
      <c r="J19" s="795">
        <f>IF(ISNUMBER(I19/B19),I19/B19," - ")</f>
        <v>737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vJoblXIqBtGuBKEbFJ+N6KnMc6WTZyXzejHi9U6F2Qxm/sX4urr0ex7n6588dA31wy6XFlADPTILdLPtdtMYQ==" saltValue="f6xwDuFkgSzbRctjsKYq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TERUEL  Resumenes por Partidos Judiciales  ALCAÑIZ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175</v>
      </c>
      <c r="AM12" s="690">
        <f>IF(ISNUMBER(Datos!N12+DatosP!N16),Datos!N12+DatosP!N16," - ")</f>
        <v>334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5.3058252427184476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-0.1923728813559322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308</v>
      </c>
      <c r="AE13" s="939">
        <f t="shared" si="1"/>
        <v>0</v>
      </c>
      <c r="AF13" s="939">
        <f t="shared" si="1"/>
        <v>10</v>
      </c>
      <c r="AG13" s="939">
        <f t="shared" si="1"/>
        <v>0</v>
      </c>
      <c r="AH13" s="939">
        <f t="shared" si="1"/>
        <v>953</v>
      </c>
      <c r="AI13" s="939">
        <f t="shared" si="1"/>
        <v>0</v>
      </c>
      <c r="AJ13" s="939">
        <f t="shared" si="1"/>
        <v>0</v>
      </c>
      <c r="AK13" s="939">
        <f t="shared" si="1"/>
        <v>0</v>
      </c>
      <c r="AL13" s="939">
        <f t="shared" si="1"/>
        <v>181</v>
      </c>
      <c r="AM13" s="939">
        <f t="shared" si="1"/>
        <v>338</v>
      </c>
      <c r="AN13" s="939">
        <f t="shared" si="1"/>
        <v>0</v>
      </c>
      <c r="AO13" s="939">
        <f t="shared" si="1"/>
        <v>0</v>
      </c>
      <c r="AP13" s="944">
        <f>IF(ISNUMBER(((Datos!L13/Datos!K13)*11)/factor_trimestre),((Datos!L13/Datos!K13)*11)/factor_trimestre," - ")</f>
        <v>5.2672131147540986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-1.0714285714285714</v>
      </c>
      <c r="AU13" s="939" t="str">
        <f>IF(ISNUMBER((DatosP!#REF!-DatosP!#REF!+DatosP!#REF!)/(DatosP!#REF!+DatosP!#REF!-DatosP!#REF!-DatosP!#REF!)),(DatosP!#REF!-DatosP!#REF!+DatosP!#REF!)/(DatosP!#REF!+DatosP!#REF!-DatosP!#REF!-DatosP!#REF!)," - ")</f>
        <v xml:space="preserve"> - </v>
      </c>
      <c r="AV13" s="945">
        <f>SUBTOTAL(9,AV9:AV12)</f>
        <v>-0.1923728813559322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2.0842696629213484</v>
      </c>
      <c r="AQ18" s="944">
        <f>IF(ISNUMBER(((Datos!M18/Datos!L18)*11)/factor_trimestre),((Datos!M18/Datos!L18)*11)/factor_trimestre," - ")</f>
        <v>0.59029649595687328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0.22807017543859648</v>
      </c>
      <c r="AW18" s="946">
        <f>IF(ISNUMBER((Datos!Q18-Datos!R18)/(Datos!S18-Datos!Q18+Datos!R18)),(Datos!Q18-Datos!R18)/(Datos!S18-Datos!Q18+Datos!R18)," - ")</f>
        <v>-0.15625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308</v>
      </c>
      <c r="AE19" s="957">
        <f t="shared" si="5"/>
        <v>0</v>
      </c>
      <c r="AF19" s="958">
        <f t="shared" si="5"/>
        <v>10</v>
      </c>
      <c r="AG19" s="958">
        <f t="shared" si="5"/>
        <v>0</v>
      </c>
      <c r="AH19" s="958">
        <f t="shared" si="5"/>
        <v>953</v>
      </c>
      <c r="AI19" s="958">
        <f t="shared" si="5"/>
        <v>0</v>
      </c>
      <c r="AJ19" s="959">
        <f t="shared" si="5"/>
        <v>0</v>
      </c>
      <c r="AK19" s="959">
        <f t="shared" si="5"/>
        <v>0</v>
      </c>
      <c r="AL19" s="951">
        <f t="shared" si="5"/>
        <v>181</v>
      </c>
      <c r="AM19" s="951">
        <f t="shared" si="5"/>
        <v>338</v>
      </c>
      <c r="AN19" s="951">
        <f t="shared" si="5"/>
        <v>0</v>
      </c>
      <c r="AO19" s="951">
        <f t="shared" si="5"/>
        <v>0</v>
      </c>
      <c r="AP19" s="951">
        <f>IF(ISNUMBER(((Datos!L19/Datos!K19)*11)/factor_trimestre),((Datos!L19/Datos!K19)*11)/factor_trimestre," - ")</f>
        <v>3.7814685314685317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-1.0714285714285714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-0.16812749003984065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101.09566426575046</v>
      </c>
      <c r="AM21" s="736"/>
      <c r="AN21" s="736">
        <f>IF(ISNUMBER(STDEV(AN8:AN18)),STDEV(AN8:AN18),"-")</f>
        <v>0</v>
      </c>
      <c r="AO21" s="742">
        <f>IF(ISNUMBER(STDEV(AO8:AO18)),STDEV(AO8:AO18),"-")</f>
        <v>0</v>
      </c>
      <c r="AP21" s="779">
        <f>IF(ISNUMBER(STDEV(AP8:AP18)),STDEV(AP8:AP18),"-")</f>
        <v>1.8735283939761291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Y9e869YIV7DhVa3i45Y8Mfh2ooPezOuV9hjeBvDhETpbBbhUAT0s1R+2WfbPauIS6zKJ98GERFze4i5Gcenc6g==" saltValue="7h19R3xlY0qkn94/uFbS4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TERUEL</v>
      </c>
      <c r="C3" s="415"/>
      <c r="F3" s="375"/>
      <c r="G3" s="375"/>
      <c r="H3" s="375"/>
    </row>
    <row r="4" spans="1:15" ht="13.5" thickBot="1">
      <c r="A4" s="375"/>
      <c r="B4" s="391" t="str">
        <f>Criterios!A11 &amp;"  "&amp;Criterios!B11</f>
        <v>Resumenes por Partidos Judiciales  ALCAÑIZ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5njV6DuFcF9h7W6LIE44RHLbmpnUygvKfU/lIjouWMiq5JN2D0v/gGQm7l9XhdrN4Ma2s2cZwk0eI3hs44q2A==" saltValue="VaNF0K313Zv5VAVNTZuI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TERUEL</v>
      </c>
      <c r="C3" s="391"/>
      <c r="D3" s="425"/>
      <c r="BZ3" s="471"/>
    </row>
    <row r="4" spans="1:78" ht="13.5" thickBot="1">
      <c r="B4" s="391" t="str">
        <f>Criterios!A11 &amp;"  "&amp;Criterios!B11</f>
        <v>Resumenes por Partidos Judiciales  ALCAÑIZ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4</v>
      </c>
      <c r="G10" s="404">
        <f>IF(ISNUMBER(F10/B10),F10/B10," - ")</f>
        <v>4</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175</v>
      </c>
      <c r="E12" s="404">
        <f t="shared" si="0"/>
        <v>87.5</v>
      </c>
      <c r="F12" s="403">
        <f>IF(ISNUMBER(Datos!N12),Datos!N12," - ")</f>
        <v>334</v>
      </c>
      <c r="G12" s="404">
        <f t="shared" si="1"/>
        <v>167</v>
      </c>
      <c r="H12" s="403">
        <f>IF(ISNUMBER(Datos!O12),Datos!O12," - ")</f>
        <v>350</v>
      </c>
      <c r="I12" s="404">
        <f t="shared" si="2"/>
        <v>175</v>
      </c>
      <c r="BZ12" s="1186">
        <f>Datos!EZ12</f>
        <v>0</v>
      </c>
    </row>
    <row r="13" spans="1:78" ht="14.25" thickTop="1" thickBot="1">
      <c r="A13" s="848" t="str">
        <f>Datos!A13</f>
        <v>TOTAL</v>
      </c>
      <c r="B13" s="849">
        <f>Datos!AP13</f>
        <v>2</v>
      </c>
      <c r="C13" s="851">
        <f>Datos!AR13</f>
        <v>2</v>
      </c>
      <c r="D13" s="849">
        <f>SUBTOTAL(9,D9:D12)</f>
        <v>181</v>
      </c>
      <c r="E13" s="850">
        <f t="shared" si="0"/>
        <v>90.5</v>
      </c>
      <c r="F13" s="849">
        <f>SUBTOTAL(9,F9:F12)</f>
        <v>338</v>
      </c>
      <c r="G13" s="850">
        <f t="shared" si="1"/>
        <v>169</v>
      </c>
      <c r="H13" s="849">
        <f>SUBTOTAL(9,H9:H12)</f>
        <v>352</v>
      </c>
      <c r="I13" s="850">
        <f>IF(ISNUMBER(H13/B13),H13/B13," - ")</f>
        <v>176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69</v>
      </c>
      <c r="E16" s="404">
        <f t="shared" si="3"/>
        <v>34.5</v>
      </c>
      <c r="F16" s="403">
        <f>IF(ISNUMBER(Datos!N16),Datos!N16," - ")</f>
        <v>326</v>
      </c>
      <c r="G16" s="404">
        <f t="shared" si="4"/>
        <v>163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73</v>
      </c>
      <c r="E18" s="850">
        <f t="shared" si="3"/>
        <v>36.5</v>
      </c>
      <c r="F18" s="849">
        <f>SUBTOTAL(9,F15:F17)</f>
        <v>337</v>
      </c>
      <c r="G18" s="850">
        <f t="shared" si="4"/>
        <v>168.5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254</v>
      </c>
      <c r="E19" s="795">
        <f>IF(ISNUMBER(D19/B19),D19/B19," - ")</f>
        <v>127</v>
      </c>
      <c r="F19" s="794">
        <f>SUBTOTAL(9,F8:F18)</f>
        <v>675</v>
      </c>
      <c r="G19" s="795">
        <f>IF(ISNUMBER(F19/B19),F19/B19," - ")</f>
        <v>337.5</v>
      </c>
      <c r="H19" s="794">
        <f>SUBTOTAL(9,H8:H18)</f>
        <v>352</v>
      </c>
      <c r="I19" s="795">
        <f>IF(ISNUMBER(H19/B19),H19/B19," - ")</f>
        <v>176</v>
      </c>
    </row>
    <row r="22" spans="1:78">
      <c r="A22" s="391" t="str">
        <f>Criterios!A4</f>
        <v>Fecha Informe: 03 jun. 2025</v>
      </c>
    </row>
    <row r="27" spans="1:78">
      <c r="A27" s="414"/>
    </row>
  </sheetData>
  <sheetProtection algorithmName="SHA-512" hashValue="WGXowQc41bLZIULn/l+XROJYb6u6JVJQ2FXqP6d0TQIVVeHARmoyezQn5db534qW2ERGLr8mB1VNvzR0K2Y/JA==" saltValue="CjktwJtNTdpDSadwHe263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TERUEL</v>
      </c>
    </row>
    <row r="4" spans="1:4" ht="13.5" thickBot="1">
      <c r="B4" s="391" t="str">
        <f>Criterios!A11 &amp;"  "&amp;Criterios!B11</f>
        <v>Resumenes por Partidos Judiciales  ALCAÑIZ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21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81</v>
      </c>
      <c r="C12" s="434">
        <f>IF(ISNUMBER(Datos!Q12),Datos!Q12," - ")</f>
        <v>308</v>
      </c>
      <c r="D12" s="408">
        <f>IF(ISNUMBER(Datos!R12),Datos!R12," - ")</f>
        <v>953</v>
      </c>
    </row>
    <row r="13" spans="1:4" ht="14.25" thickTop="1" thickBot="1">
      <c r="A13" s="848" t="str">
        <f>Datos!A13</f>
        <v>TOTAL</v>
      </c>
      <c r="B13" s="849">
        <f>SUBTOTAL(9,B9:B12)</f>
        <v>84</v>
      </c>
      <c r="C13" s="853">
        <f>SUBTOTAL(9,C9:C12)</f>
        <v>308</v>
      </c>
      <c r="D13" s="851">
        <f>SUBTOTAL(9,D9:D12)</f>
        <v>974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10</v>
      </c>
      <c r="D16" s="408">
        <f>IF(ISNUMBER(Datos!R16),Datos!R16," - ")</f>
        <v>68</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23</v>
      </c>
      <c r="C18" s="853">
        <f>SUBTOTAL(9,C15:C17)</f>
        <v>10</v>
      </c>
      <c r="D18" s="851">
        <f>SUBTOTAL(9,D15:D17)</f>
        <v>70</v>
      </c>
    </row>
    <row r="19" spans="1:4" ht="16.5" customHeight="1" thickTop="1" thickBot="1">
      <c r="A19" s="793" t="str">
        <f>Datos!A19</f>
        <v>TOTAL JURISDICCIONES</v>
      </c>
      <c r="B19" s="798">
        <f>SUBTOTAL(9,B8:B18)</f>
        <v>107</v>
      </c>
      <c r="C19" s="799">
        <f>SUBTOTAL(9,C8:C18)</f>
        <v>318</v>
      </c>
      <c r="D19" s="800">
        <f>SUBTOTAL(9,D8:D18)</f>
        <v>1044</v>
      </c>
    </row>
    <row r="20" spans="1:4" ht="7.5" customHeight="1"/>
    <row r="21" spans="1:4" ht="6" customHeight="1"/>
    <row r="22" spans="1:4">
      <c r="A22" s="391" t="str">
        <f>Criterios!A4</f>
        <v>Fecha Informe: 03 jun. 2025</v>
      </c>
    </row>
    <row r="27" spans="1:4">
      <c r="A27" s="414"/>
    </row>
  </sheetData>
  <sheetProtection algorithmName="SHA-512" hashValue="xM2auEWFaoAL8K8V2Fa+B/MTv5ZDgtfmyjyXB5cJEc5Au7w2nP+jVATChSm988T/Ieg/uoy9fR8otjxUDjt7lw==" saltValue="iD6v83sKtZkIaZzhegNc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TERUEL</v>
      </c>
    </row>
    <row r="4" spans="1:11" ht="10.5" customHeight="1" thickBot="1">
      <c r="B4" s="391" t="str">
        <f>Criterios!A11 &amp;"  "&amp;Criterios!B11</f>
        <v>Resumenes por Partidos Judiciales  ALCAÑIZ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-0.6333333333333333</v>
      </c>
      <c r="D10" s="456">
        <f>IF(ISNUMBER((Datos!K10-Datos!U10)/Datos!U10),(Datos!K10-Datos!U10)/Datos!U10," - ")</f>
        <v>-0.375</v>
      </c>
      <c r="E10" s="456">
        <f>IF(ISNUMBER((Datos!L10-Datos!V10)/Datos!V10),(Datos!L10-Datos!V10)/Datos!V10," - ")</f>
        <v>-0.23076923076923078</v>
      </c>
      <c r="F10" s="456" t="str">
        <f>IF(ISNUMBER((Datos!M10-Datos!W10)/Datos!W10),(Datos!M10-Datos!W10)/Datos!W10," - ")</f>
        <v xml:space="preserve"> - </v>
      </c>
      <c r="G10" s="457">
        <f>IF(ISNUMBER((Datos!N10-Datos!X10)/Datos!X10),(Datos!N10-Datos!X10)/Datos!X10," - ")</f>
        <v>0.33333333333333331</v>
      </c>
      <c r="H10" s="455">
        <f>IF(ISNUMBER(((NºAsuntos!G10/NºAsuntos!E10)-Datos!BD10)/Datos!BD10),((NºAsuntos!G10/NºAsuntos!E10)-Datos!BD10)/Datos!BD10," - ")</f>
        <v>0.70454545454545436</v>
      </c>
      <c r="I10" s="456">
        <f>IF(ISNUMBER(((NºAsuntos!I10/NºAsuntos!G10)-Datos!BE10)/Datos!BE10),((NºAsuntos!I10/NºAsuntos!G10)-Datos!BE10)/Datos!BE10," - ")</f>
        <v>0.23076923076923078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8.1081081081081072E-2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0.36184210526315791</v>
      </c>
      <c r="C12" s="456">
        <f>IF(ISNUMBER(
   IF(J_V="SI",(Datos!J12-Datos!T12)/Datos!T12,(Datos!J12+Datos!Z12-(Datos!T12+Datos!AH12))/(Datos!T12+Datos!AH12))
     ),IF(J_V="SI",(Datos!J12-Datos!T12)/Datos!T12,(Datos!J12+Datos!Z12-(Datos!T12+Datos!AH12))/(Datos!T12+Datos!AH12))," - ")</f>
        <v>-7.901907356948229E-2</v>
      </c>
      <c r="D12" s="456">
        <f>IF(ISNUMBER(
   IF(J_V="SI",(Datos!K12-Datos!U12)/Datos!U12,(Datos!K12+Datos!AA12-(Datos!U12+Datos!AI12))/(Datos!U12+Datos!AI12))
     ),IF(J_V="SI",(Datos!K12-Datos!U12)/Datos!U12,(Datos!K12+Datos!AA12-(Datos!U12+Datos!AI12))/(Datos!U12+Datos!AI12))," - ")</f>
        <v>-0.15458276333789331</v>
      </c>
      <c r="E12" s="456">
        <f>IF(ISNUMBER(
   IF(J_V="SI",(Datos!L12-Datos!V12)/Datos!V12,(Datos!L12+Datos!AB12-(Datos!V12+Datos!AJ12))/(Datos!V12+Datos!AJ12))
     ),IF(J_V="SI",(Datos!L12-Datos!V12)/Datos!V12,(Datos!L12+Datos!AB12-(Datos!V12+Datos!AJ12))/(Datos!V12+Datos!AJ12))," - ")</f>
        <v>0.43250327653997378</v>
      </c>
      <c r="F12" s="456">
        <f>IF(ISNUMBER((Datos!M12-Datos!W12)/Datos!W12),(Datos!M12-Datos!W12)/Datos!W12," - ")</f>
        <v>-0.30555555555555558</v>
      </c>
      <c r="G12" s="457">
        <f>IF(ISNUMBER((Datos!N12-Datos!X12)/Datos!X12),(Datos!N12-Datos!X12)/Datos!X12," - ")</f>
        <v>1.2876712328767124</v>
      </c>
      <c r="H12" s="455">
        <f>IF(ISNUMBER(((NºAsuntos!G12/NºAsuntos!E12)-Datos!BD12)/Datos!BD12),((NºAsuntos!G12/NºAsuntos!E12)-Datos!BD12)/Datos!BD12," - ")</f>
        <v>-8.2046964926055732E-2</v>
      </c>
      <c r="I12" s="456">
        <f>IF(ISNUMBER(((NºAsuntos!I12/NºAsuntos!G12)-Datos!BE12)/Datos!BE12),((NºAsuntos!I12/NºAsuntos!G12)-Datos!BE12)/Datos!BE12," - ")</f>
        <v>0.69443348729890109</v>
      </c>
      <c r="J12" s="461">
        <f>IF(ISNUMBER((('Resol  Asuntos'!D12/NºAsuntos!G12)-Datos!BF12)/Datos!BF12),(('Resol  Asuntos'!D12/NºAsuntos!G12)-Datos!BF12)/Datos!BF12," - ")</f>
        <v>0.41779713614399089</v>
      </c>
      <c r="K12" s="462">
        <f>IF(ISNUMBER((((NºAsuntos!C12+NºAsuntos!E12)/NºAsuntos!G12)-Datos!BG12)/Datos!BG12),(((NºAsuntos!C12+NºAsuntos!E12)/NºAsuntos!G12)-Datos!BG12)/Datos!BG12," - ")</f>
        <v>0.35465378233538253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0.36766623207301175</v>
      </c>
      <c r="C13" s="855">
        <f>IF(ISNUMBER(
   IF(J_V="SI",(Datos!J13-Datos!T13)/Datos!T13,(Datos!J13+Datos!Z13-(Datos!T13+Datos!AH13))/(Datos!T13+Datos!AH13))
     ),IF(J_V="SI",(Datos!J13-Datos!T13)/Datos!T13,(Datos!J13+Datos!Z13-(Datos!T13+Datos!AH13))/(Datos!T13+Datos!AH13))," - ")</f>
        <v>-0.10078534031413612</v>
      </c>
      <c r="D13" s="855">
        <f>IF(ISNUMBER(
   IF(J_V="SI",(Datos!K13-Datos!U13)/Datos!U13,(Datos!K13+Datos!AA13-(Datos!U13+Datos!AI13))/(Datos!U13+Datos!AI13))
     ),IF(J_V="SI",(Datos!K13-Datos!U13)/Datos!U13,(Datos!K13+Datos!AA13-(Datos!U13+Datos!AI13))/(Datos!U13+Datos!AI13))," - ")</f>
        <v>-0.16158940397350993</v>
      </c>
      <c r="E13" s="855">
        <f>IF(ISNUMBER(
   IF(J_V="SI",(Datos!L13-Datos!V13)/Datos!V13,(Datos!L13+Datos!AB13-(Datos!V13+Datos!AJ13))/(Datos!V13+Datos!AJ13))
     ),IF(J_V="SI",(Datos!L13-Datos!V13)/Datos!V13,(Datos!L13+Datos!AB13-(Datos!V13+Datos!AJ13))/(Datos!V13+Datos!AJ13))," - ")</f>
        <v>0.42139175257731959</v>
      </c>
      <c r="F13" s="856">
        <f>IF(ISNUMBER((Datos!M13-Datos!W13)/Datos!W13),(Datos!M13-Datos!W13)/Datos!W13," - ")</f>
        <v>-0.28174603174603174</v>
      </c>
      <c r="G13" s="857">
        <f>IF(ISNUMBER((Datos!N13-Datos!X13)/Datos!X13),(Datos!N13-Datos!X13)/Datos!X13," - ")</f>
        <v>1.2684563758389262</v>
      </c>
      <c r="H13" s="857">
        <f>IF(ISNUMBER(((NºAsuntos!G13/NºAsuntos!E13)-Datos!BD13)/Datos!BD13),((NºAsuntos!G13/NºAsuntos!E13)-Datos!BD13)/Datos!BD13," - ")</f>
        <v>-6.7619075161224937E-2</v>
      </c>
      <c r="I13" s="857">
        <f>IF(ISNUMBER(((NºAsuntos!I13/NºAsuntos!G13)-Datos!BE13)/Datos!BE13),((NºAsuntos!I13/NºAsuntos!G13)-Datos!BE13)/Datos!BE13," - ")</f>
        <v>0.69534087392713473</v>
      </c>
      <c r="J13" s="857">
        <f>IF(ISNUMBER((('Resol  Asuntos'!D13/NºAsuntos!G13)-Datos!BF13)/Datos!BF13),(('Resol  Asuntos'!D13/NºAsuntos!G13)-Datos!BF13)/Datos!BF13," - ")</f>
        <v>0.47866216537903861</v>
      </c>
      <c r="K13" s="857">
        <f>IF(ISNUMBER((((NºAsuntos!C13+NºAsuntos!E13)/NºAsuntos!G13)-Datos!BG13)/Datos!BG13),(((NºAsuntos!C13+NºAsuntos!E13)/NºAsuntos!G13)-Datos!BG13)/Datos!BG13," - ")</f>
        <v>0.35243926725503366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0.26129032258064516</v>
      </c>
      <c r="C16" s="456">
        <f>IF(ISNUMBER(
   IF(D_I="SI",(Datos!J16-Datos!T16)/Datos!T16,(Datos!J16+Datos!AD16-(Datos!T16+Datos!AL16))/(Datos!T16+Datos!AL16))
     ),IF(D_I="SI",(Datos!J16-Datos!T16)/Datos!T16,(Datos!J16+Datos!AD16-(Datos!T16+Datos!AL16))/(Datos!T16+Datos!AL16))," - ")</f>
        <v>-0.41374837872892345</v>
      </c>
      <c r="D16" s="456">
        <f>IF(ISNUMBER(
   IF(D_I="SI",(Datos!K16-Datos!U16)/Datos!U16,(Datos!K16+Datos!AE16-(Datos!U16+Datos!AM16))/(Datos!U16+Datos!AM16))
     ),IF(D_I="SI",(Datos!K16-Datos!U16)/Datos!U16,(Datos!K16+Datos!AE16-(Datos!U16+Datos!AM16))/(Datos!U16+Datos!AM16))," - ")</f>
        <v>-0.38721351025331724</v>
      </c>
      <c r="E16" s="456">
        <f>IF(ISNUMBER(
   IF(D_I="SI",(Datos!L16-Datos!V16)/Datos!V16,(Datos!L16+Datos!AF16-(Datos!V16+Datos!AN16))/(Datos!V16+Datos!AN16))
     ),IF(D_I="SI",(Datos!L16-Datos!V16)/Datos!V16,(Datos!L16+Datos!AF16-(Datos!V16+Datos!AN16))/(Datos!V16+Datos!AN16))," - ")</f>
        <v>0.20557491289198607</v>
      </c>
      <c r="F16" s="456">
        <f>IF(ISNUMBER((Datos!M16-Datos!W16)/Datos!W16),(Datos!M16-Datos!W16)/Datos!W16," - ")</f>
        <v>-4.1666666666666664E-2</v>
      </c>
      <c r="G16" s="457">
        <f>IF(ISNUMBER((Datos!N16-Datos!X16)/Datos!X16),(Datos!N16-Datos!X16)/Datos!X16," - ")</f>
        <v>-0.42907180385288968</v>
      </c>
      <c r="H16" s="455">
        <f>IF(ISNUMBER(((NºAsuntos!G16/NºAsuntos!E16)-Datos!BD16)/Datos!BD16),((NºAsuntos!G16/NºAsuntos!E16)-Datos!BD16)/Datos!BD16," - ")</f>
        <v>4.5261910607726566E-2</v>
      </c>
      <c r="I16" s="456">
        <f>IF(ISNUMBER(((NºAsuntos!I16/NºAsuntos!G16)-Datos!BE16)/Datos!BE16),((NºAsuntos!I16/NºAsuntos!G16)-Datos!BE16)/Datos!BE16," - ")</f>
        <v>0.96736535981782767</v>
      </c>
      <c r="J16" s="461">
        <f>IF(ISNUMBER((('Resol  Asuntos'!D16/NºAsuntos!G16)-Datos!BF16)/Datos!BF16),(('Resol  Asuntos'!D16/NºAsuntos!G16)-Datos!BF16)/Datos!BF16," - ")</f>
        <v>0.56389435695538059</v>
      </c>
      <c r="K16" s="462">
        <f>IF(ISNUMBER((((NºAsuntos!C16+NºAsuntos!E16)/NºAsuntos!G16)-Datos!BG16)/Datos!BG16),(((NºAsuntos!C16+NºAsuntos!E16)/NºAsuntos!G16)-Datos!BG16)/Datos!BG16," - ")</f>
        <v>0.27260228572261019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-0.30303030303030304</v>
      </c>
      <c r="D17" s="456">
        <f>IF(ISNUMBER(
   IF(D_I="SI",(Datos!K17-Datos!U17)/Datos!U17,(Datos!K17+Datos!AE17-(Datos!U17+Datos!AM17))/(Datos!U17+Datos!AM17))
     ),IF(D_I="SI",(Datos!K17-Datos!U17)/Datos!U17,(Datos!K17+Datos!AE17-(Datos!U17+Datos!AM17))/(Datos!U17+Datos!AM17))," - ")</f>
        <v>-0.38095238095238093</v>
      </c>
      <c r="E17" s="456">
        <f>IF(ISNUMBER(
   IF(D_I="SI",(Datos!L17-Datos!V17)/Datos!V17,(Datos!L17+Datos!AF17-(Datos!V17+Datos!AN17))/(Datos!V17+Datos!AN17))
     ),IF(D_I="SI",(Datos!L17-Datos!V17)/Datos!V17,(Datos!L17+Datos!AF17-(Datos!V17+Datos!AN17))/(Datos!V17+Datos!AN17))," - ")</f>
        <v>4</v>
      </c>
      <c r="F17" s="456">
        <f>IF(ISNUMBER((Datos!M17-Datos!W17)/Datos!W17),(Datos!M17-Datos!W17)/Datos!W17," - ")</f>
        <v>-0.75</v>
      </c>
      <c r="G17" s="457">
        <f>IF(ISNUMBER((Datos!N17-Datos!X17)/Datos!X17),(Datos!N17-Datos!X17)/Datos!X17," - ")</f>
        <v>-0.42105263157894735</v>
      </c>
      <c r="H17" s="455">
        <f>IF(ISNUMBER(((NºAsuntos!G17/NºAsuntos!E17)-Datos!BD17)/Datos!BD17),((NºAsuntos!G17/NºAsuntos!E17)-Datos!BD17)/Datos!BD17," - ")</f>
        <v>-0.1118012422360249</v>
      </c>
      <c r="I17" s="456">
        <f>IF(ISNUMBER(((NºAsuntos!I17/NºAsuntos!G17)-Datos!BE17)/Datos!BE17),((NºAsuntos!I17/NºAsuntos!G17)-Datos!BE17)/Datos!BE17," - ")</f>
        <v>7.0769230769230775</v>
      </c>
      <c r="J17" s="461">
        <f>IF(ISNUMBER((('Resol  Asuntos'!D17/NºAsuntos!G17)-Datos!BF17)/Datos!BF17),(('Resol  Asuntos'!D17/NºAsuntos!G17)-Datos!BF17)/Datos!BF17," - ")</f>
        <v>-0.59615384615384615</v>
      </c>
      <c r="K17" s="462">
        <f>IF(ISNUMBER((((NºAsuntos!C17+NºAsuntos!E17)/NºAsuntos!G17)-Datos!BG17)/Datos!BG17),(((NºAsuntos!C17+NºAsuntos!E17)/NºAsuntos!G17)-Datos!BG17)/Datos!BG17," - ")</f>
        <v>0.75286415711947619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0.2932098765432099</v>
      </c>
      <c r="C18" s="855">
        <f>IF(ISNUMBER(
   IF(Criterios!B14="SI",(Datos!J18-Datos!T18)/Datos!T18,(Datos!J18+Datos!AD18-(Datos!T18+Datos!AL18))/(Datos!T18+Datos!AL18))
     ),IF(Criterios!B14="SI",(Datos!J18-Datos!T18)/Datos!T18,(Datos!J18+Datos!AD18-(Datos!T18+Datos!AL18))/(Datos!T18+Datos!AL18))," - ")</f>
        <v>-0.40920398009950248</v>
      </c>
      <c r="D18" s="855">
        <f>IF(ISNUMBER(
   IF(Criterios!B14="SI",(Datos!K18-Datos!U18)/Datos!U18,(Datos!K18+Datos!AE18-(Datos!U18+Datos!AM18))/(Datos!U18+Datos!AM18))
     ),IF(Criterios!B14="SI",(Datos!K18-Datos!U18)/Datos!U18,(Datos!K18+Datos!AE18-(Datos!U18+Datos!AM18))/(Datos!U18+Datos!AM18))," - ")</f>
        <v>-0.38691159586681972</v>
      </c>
      <c r="E18" s="855">
        <f>IF(ISNUMBER(
   IF(Criterios!B14="SI",(Datos!L18-Datos!V18)/Datos!V18,(Datos!L18+Datos!AF18-(Datos!V18+Datos!AN18))/(Datos!V18+Datos!AN18))
     ),IF(Criterios!B14="SI",(Datos!L18-Datos!V18)/Datos!V18,(Datos!L18+Datos!AF18-(Datos!V18+Datos!AN18))/(Datos!V18+Datos!AN18))," - ")</f>
        <v>0.27054794520547948</v>
      </c>
      <c r="F18" s="856">
        <f>IF(ISNUMBER((Datos!M18-Datos!W18)/Datos!W18),(Datos!M18-Datos!W18)/Datos!W18," - ")</f>
        <v>-0.17045454545454544</v>
      </c>
      <c r="G18" s="857">
        <f>IF(ISNUMBER((Datos!N18-Datos!X18)/Datos!X18),(Datos!N18-Datos!X18)/Datos!X18," - ")</f>
        <v>-0.42881355932203391</v>
      </c>
      <c r="H18" s="857">
        <f>IF(ISNUMBER(((NºAsuntos!G18/NºAsuntos!E18)-Datos!BD18)/Datos!BD18),((NºAsuntos!G18/NºAsuntos!E18)-Datos!BD18)/Datos!BD18," - ")</f>
        <v>3.7732793522267348E-2</v>
      </c>
      <c r="I18" s="857">
        <f>IF(ISNUMBER(((NºAsuntos!I18/NºAsuntos!G18)-Datos!BE18)/Datos!BE18),((NºAsuntos!I18/NºAsuntos!G18)-Datos!BE18)/Datos!BE18," - ")</f>
        <v>1.0723731465804733</v>
      </c>
      <c r="J18" s="857">
        <f>IF(ISNUMBER((('Resol  Asuntos'!D18/NºAsuntos!G18)-Datos!BF18)/Datos!BF18),(('Resol  Asuntos'!D18/NºAsuntos!G18)-Datos!BF18)/Datos!BF18," - ")</f>
        <v>0.3530600953353763</v>
      </c>
      <c r="K18" s="857">
        <f>IF(ISNUMBER((((NºAsuntos!C18+NºAsuntos!E18)/NºAsuntos!G18)-Datos!BG18)/Datos!BG18),(((NºAsuntos!C18+NºAsuntos!E18)/NºAsuntos!G18)-Datos!BG18)/Datos!BG18," - ")</f>
        <v>0.29272252769144969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0.34555453712190654</v>
      </c>
      <c r="C19" s="802">
        <f>IF(ISNUMBER(
   IF(J_V="SI",(Datos!J19-Datos!T19)/Datos!T19,(Datos!J19+Datos!Z19-(Datos!T19+Datos!AH19))/(Datos!T19+Datos!AH19))
     ),IF(J_V="SI",(Datos!J19-Datos!T19)/Datos!T19,(Datos!J19+Datos!Z19-(Datos!T19+Datos!AH19))/(Datos!T19+Datos!AH19))," - ")</f>
        <v>-0.25892857142857145</v>
      </c>
      <c r="D19" s="802">
        <f>IF(ISNUMBER(
   IF(J_V="SI",(Datos!K19-Datos!U19)/Datos!U19,(Datos!K19+Datos!AA19-(Datos!U19+Datos!AI19))/(Datos!U19+Datos!AI19))
     ),IF(J_V="SI",(Datos!K19-Datos!U19)/Datos!U19,(Datos!K19+Datos!AA19-(Datos!U19+Datos!AI19))/(Datos!U19+Datos!AI19))," - ")</f>
        <v>-0.28228782287822879</v>
      </c>
      <c r="E19" s="802">
        <f>IF(ISNUMBER(
   IF(J_V="SI",(Datos!L19-Datos!V19)/Datos!V19,(Datos!L19+Datos!AB19-(Datos!V19+Datos!AJ19))/(Datos!V19+Datos!AJ19))
     ),IF(J_V="SI",(Datos!L19-Datos!V19)/Datos!V19,(Datos!L19+Datos!AB19-(Datos!V19+Datos!AJ19))/(Datos!V19+Datos!AJ19))," - ")</f>
        <v>0.38014981273408238</v>
      </c>
      <c r="F19" s="803">
        <f>IF(ISNUMBER((Datos!M19-Datos!W19)/Datos!W19),(Datos!M19-Datos!W19)/Datos!W19," - ")</f>
        <v>-0.25294117647058822</v>
      </c>
      <c r="G19" s="804">
        <f>IF(ISNUMBER((Datos!N19-Datos!X19)/Datos!X19),(Datos!N19-Datos!X19)/Datos!X19," - ")</f>
        <v>-8.6603518267929641E-2</v>
      </c>
      <c r="H19" s="805">
        <f>IF(ISNUMBER((Tasas!B19-Datos!BD19)/Datos!BD19),(Tasas!B19-Datos!BD19)/Datos!BD19," - ")</f>
        <v>-3.152091761881478E-2</v>
      </c>
      <c r="I19" s="806">
        <f>IF(ISNUMBER((Tasas!C19-Datos!BE19)/Datos!BE19),(Tasas!C19-Datos!BE19)/Datos!BE19," - ")</f>
        <v>0.92298508612306596</v>
      </c>
      <c r="J19" s="807">
        <f>IF(ISNUMBER((Tasas!D19-Datos!BF19)/Datos!BF19),(Tasas!D19-Datos!BF19)/Datos!BF19," - ")</f>
        <v>0.51240304967811401</v>
      </c>
      <c r="K19" s="807">
        <f>IF(ISNUMBER((Tasas!E19-Datos!BG19)/Datos!BG19),(Tasas!E19-Datos!BG19)/Datos!BG19," - ")</f>
        <v>0.37812019324194607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B6mkoLwOJRefttmvrzw0DbOMFbI0PXdLuXAAI4hssSqqnuavJ81wJy3cFJ6QzgZ2+G34yjORAMQTqaT/iMbBw==" saltValue="AFJ6DXX8bUaVN0WvkBlp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TERUEL</v>
      </c>
    </row>
    <row r="4" spans="1:7" ht="11.25" customHeight="1" thickBot="1">
      <c r="B4" s="391" t="str">
        <f>Criterios!A11 &amp;"  "&amp;Criterios!B11</f>
        <v>Resumenes por Partidos Judiciales  ALCAÑIZ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1.3636363636363635</v>
      </c>
      <c r="C10" s="443">
        <f>IF(ISNUMBER(NºAsuntos!I10/NºAsuntos!G10),NºAsuntos!I10/NºAsuntos!G10," - ")</f>
        <v>0.66666666666666663</v>
      </c>
      <c r="D10" s="444">
        <f>IF(ISNUMBER('Resol  Asuntos'!D10/NºAsuntos!G10),'Resol  Asuntos'!D10/NºAsuntos!G10," - ")</f>
        <v>0.4</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0.91420118343195267</v>
      </c>
      <c r="C12" s="443">
        <f>IF(ISNUMBER(NºAsuntos!I12/NºAsuntos!G12),NºAsuntos!I12/NºAsuntos!G12," - ")</f>
        <v>1.7686084142394822</v>
      </c>
      <c r="D12" s="444">
        <f>IF(ISNUMBER('Resol  Asuntos'!D12/NºAsuntos!G12),'Resol  Asuntos'!D12/NºAsuntos!G12," - ")</f>
        <v>0.28317152103559873</v>
      </c>
      <c r="E12" s="445">
        <f>IF(ISNUMBER((NºAsuntos!C12+NºAsuntos!E12)/NºAsuntos!G12),(NºAsuntos!C12+NºAsuntos!E12)/NºAsuntos!G12," - ")</f>
        <v>2.7686084142394822</v>
      </c>
      <c r="G12" s="463"/>
    </row>
    <row r="13" spans="1:7" ht="14.25" thickTop="1" thickBot="1">
      <c r="A13" s="848" t="str">
        <f>Datos!A13</f>
        <v>TOTAL</v>
      </c>
      <c r="B13" s="858">
        <f>IF(ISNUMBER(NºAsuntos!G13/NºAsuntos!E13),NºAsuntos!G13/NºAsuntos!E13," - ")</f>
        <v>0.92139737991266379</v>
      </c>
      <c r="C13" s="859">
        <f>IF(ISNUMBER(NºAsuntos!I13/NºAsuntos!G13),NºAsuntos!I13/NºAsuntos!G13," - ")</f>
        <v>1.7424960505529226</v>
      </c>
      <c r="D13" s="860">
        <f>IF(ISNUMBER('Resol  Asuntos'!D13/NºAsuntos!G13),'Resol  Asuntos'!D13/NºAsuntos!G13," - ")</f>
        <v>0.28593996840442337</v>
      </c>
      <c r="E13" s="861">
        <f>IF(ISNUMBER((NºAsuntos!C13+NºAsuntos!E13)/NºAsuntos!G13),(NºAsuntos!C13+NºAsuntos!E13)/NºAsuntos!G13," - ")</f>
        <v>2.7424960505529228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1.1238938053097345</v>
      </c>
      <c r="C16" s="443">
        <f>IF(ISNUMBER(NºAsuntos!I16/NºAsuntos!G16),NºAsuntos!I16/NºAsuntos!G16," - ")</f>
        <v>0.68110236220472442</v>
      </c>
      <c r="D16" s="444">
        <f>IF(ISNUMBER('Resol  Asuntos'!D16/NºAsuntos!G16),'Resol  Asuntos'!D16/NºAsuntos!G16," - ")</f>
        <v>0.13582677165354332</v>
      </c>
      <c r="E16" s="445">
        <f>IF(ISNUMBER((NºAsuntos!C16+NºAsuntos!E16)/NºAsuntos!G16),(NºAsuntos!C16+NºAsuntos!E16)/NºAsuntos!G16," - ")</f>
        <v>1.6594488188976377</v>
      </c>
      <c r="G16" s="463"/>
    </row>
    <row r="17" spans="1:7" ht="13.5" thickBot="1">
      <c r="A17" s="402" t="str">
        <f>Datos!A17</f>
        <v>Jdos. Violencia contra la mujer</v>
      </c>
      <c r="B17" s="442">
        <f>IF(ISNUMBER(NºAsuntos!G17/NºAsuntos!E17),NºAsuntos!G17/NºAsuntos!E17," - ")</f>
        <v>1.1304347826086956</v>
      </c>
      <c r="C17" s="443">
        <f>IF(ISNUMBER(NºAsuntos!I17/NºAsuntos!G17),NºAsuntos!I17/NºAsuntos!G17," - ")</f>
        <v>0.96153846153846156</v>
      </c>
      <c r="D17" s="444">
        <f>IF(ISNUMBER('Resol  Asuntos'!D17/NºAsuntos!G17),'Resol  Asuntos'!D17/NºAsuntos!G17," - ")</f>
        <v>0.15384615384615385</v>
      </c>
      <c r="E17" s="445">
        <f>IF(ISNUMBER((NºAsuntos!C17+NºAsuntos!E17)/NºAsuntos!G17),(NºAsuntos!C17+NºAsuntos!E17)/NºAsuntos!G17," - ")</f>
        <v>1.9615384615384615</v>
      </c>
      <c r="G17" s="463"/>
    </row>
    <row r="18" spans="1:7" ht="14.25" thickTop="1" thickBot="1">
      <c r="A18" s="848" t="str">
        <f>Datos!A18</f>
        <v>TOTAL</v>
      </c>
      <c r="B18" s="858">
        <f>IF(ISNUMBER(NºAsuntos!G18/NºAsuntos!E18),NºAsuntos!G18/NºAsuntos!E18," - ")</f>
        <v>1.1242105263157895</v>
      </c>
      <c r="C18" s="859">
        <f>IF(ISNUMBER(NºAsuntos!I18/NºAsuntos!G18),NºAsuntos!I18/NºAsuntos!G18," - ")</f>
        <v>0.69475655430711614</v>
      </c>
      <c r="D18" s="862">
        <f>IF(ISNUMBER('Resol  Asuntos'!D18/NºAsuntos!G18),'Resol  Asuntos'!D18/NºAsuntos!G18," - ")</f>
        <v>0.13670411985018727</v>
      </c>
      <c r="E18" s="861">
        <f>IF(ISNUMBER((NºAsuntos!C18+NºAsuntos!E18)/NºAsuntos!G18),(NºAsuntos!C18+NºAsuntos!E18)/NºAsuntos!G18," - ")</f>
        <v>1.6741573033707866</v>
      </c>
      <c r="G18" s="463"/>
    </row>
    <row r="19" spans="1:7" ht="15.75" customHeight="1" thickTop="1" thickBot="1">
      <c r="A19" s="793" t="str">
        <f>Datos!A19</f>
        <v>TOTAL JURISDICCIONES</v>
      </c>
      <c r="B19" s="808">
        <f>IF(ISNUMBER(NºAsuntos!G19/NºAsuntos!E19),NºAsuntos!G19/NºAsuntos!E19," - ")</f>
        <v>1.004302925989673</v>
      </c>
      <c r="C19" s="809">
        <f>IF(ISNUMBER(NºAsuntos!I19/NºAsuntos!G19),NºAsuntos!I19/NºAsuntos!G19," - ")</f>
        <v>1.2630676949443016</v>
      </c>
      <c r="D19" s="810">
        <f>IF(ISNUMBER('Resol  Asuntos'!D19/NºAsuntos!G19),'Resol  Asuntos'!D19/NºAsuntos!G19," - ")</f>
        <v>0.21765209940017138</v>
      </c>
      <c r="E19" s="811">
        <f>IF(ISNUMBER((NºAsuntos!C19+NºAsuntos!E19)/NºAsuntos!G19),(NºAsuntos!C19+NºAsuntos!E19)/NºAsuntos!G19," - ")</f>
        <v>2.2536418166238219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OzvsjDdOxWhg+BGxc62DbyfZLmlBOpDaIMiTdWV8vJ7tq+/vx2csd+j9HQ9NyvHrOHk6/IhNTn6yJyQMxw6bQ==" saltValue="gek5tofv9YNEi1IuHhao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TERUEL</v>
      </c>
      <c r="N2" s="262" t="str">
        <f>Criterios!A11 &amp;"  "&amp;Criterios!B11</f>
        <v>Resumenes por Partidos Judiciales  ALCAÑIZ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10</v>
      </c>
      <c r="AB10" s="334">
        <f>IF(ISNUMBER(Datos!R10),Datos!R10," - ")</f>
        <v>21</v>
      </c>
      <c r="AC10" s="334">
        <f t="shared" ref="AC10:AC12" si="1">IF(ISNUMBER(AA10+AB10),AA10+AB10," - ")</f>
        <v>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1.3636363636363635</v>
      </c>
      <c r="AM10" s="260">
        <f>IF(ISNUMBER(((NºAsuntos!I10/NºAsuntos!G10)*11)/factor_trimestre),((NºAsuntos!I10/NºAsuntos!G10)*11)/factor_trimestre," - ")</f>
        <v>2</v>
      </c>
      <c r="AN10" s="244">
        <f>IF(ISNUMBER('Resol  Asuntos'!D10/NºAsuntos!G10),'Resol  Asuntos'!D10/NºAsuntos!G10," - ")</f>
        <v>0.4</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308</v>
      </c>
      <c r="Y12" s="334">
        <f t="shared" si="0"/>
        <v>308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175</v>
      </c>
      <c r="AJ12" s="229" t="str">
        <f>IF(ISNUMBER(Datos!BW12),Datos!BW12," - ")</f>
        <v xml:space="preserve"> - </v>
      </c>
      <c r="AK12" s="228" t="str">
        <f>IF(ISNUMBER(Datos!BX12),Datos!BX12," - ")</f>
        <v xml:space="preserve"> - </v>
      </c>
      <c r="AL12" s="243">
        <f>IF(ISNUMBER(NºAsuntos!G12/NºAsuntos!E12),NºAsuntos!G12/NºAsuntos!E12," - ")</f>
        <v>0.91420118343195267</v>
      </c>
      <c r="AM12" s="260">
        <f>IF(ISNUMBER(((NºAsuntos!I12/NºAsuntos!G12)*11)/factor_trimestre),((NºAsuntos!I12/NºAsuntos!G12)*11)/factor_trimestre," - ")</f>
        <v>5.3058252427184476</v>
      </c>
      <c r="AN12" s="244">
        <f>IF(ISNUMBER('Resol  Asuntos'!D12/NºAsuntos!G12),'Resol  Asuntos'!D12/NºAsuntos!G12," - ")</f>
        <v>0.28317152103559873</v>
      </c>
      <c r="AO12" s="245">
        <f>IF(ISNUMBER((NºAsuntos!C12+NºAsuntos!E12)/NºAsuntos!G12),(NºAsuntos!C12+NºAsuntos!E12)/NºAsuntos!G12," - ")</f>
        <v>2.7686084142394822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308</v>
      </c>
      <c r="Y13" s="868">
        <f t="shared" si="4"/>
        <v>323</v>
      </c>
      <c r="Z13" s="868">
        <f t="shared" si="4"/>
        <v>0</v>
      </c>
      <c r="AA13" s="868">
        <f t="shared" si="4"/>
        <v>10</v>
      </c>
      <c r="AB13" s="868">
        <f t="shared" si="4"/>
        <v>974</v>
      </c>
      <c r="AC13" s="868">
        <f t="shared" si="4"/>
        <v>31</v>
      </c>
      <c r="AD13" s="868">
        <f t="shared" si="4"/>
        <v>0</v>
      </c>
      <c r="AE13" s="872">
        <f t="shared" si="4"/>
        <v>0</v>
      </c>
      <c r="AF13" s="865">
        <f t="shared" si="4"/>
        <v>0</v>
      </c>
      <c r="AG13" s="873">
        <f t="shared" si="4"/>
        <v>0</v>
      </c>
      <c r="AH13" s="870">
        <f t="shared" si="4"/>
        <v>0</v>
      </c>
      <c r="AI13" s="865">
        <f t="shared" si="4"/>
        <v>181</v>
      </c>
      <c r="AJ13" s="867">
        <f t="shared" si="4"/>
        <v>0</v>
      </c>
      <c r="AK13" s="870">
        <f>SUBTOTAL(9,AK9:AK12)</f>
        <v>0</v>
      </c>
      <c r="AL13" s="874">
        <f>IF(ISNUMBER(NºAsuntos!G13/NºAsuntos!E13),NºAsuntos!G13/NºAsuntos!E13," - ")</f>
        <v>0.92139737991266379</v>
      </c>
      <c r="AM13" s="874">
        <f>IF(ISNUMBER(((NºAsuntos!I13/NºAsuntos!G13)*11)/factor_trimestre),((NºAsuntos!I13/NºAsuntos!G13)*11)/factor_trimestre," - ")</f>
        <v>5.2274881516587675</v>
      </c>
      <c r="AN13" s="875">
        <f>IF(ISNUMBER('Resol  Asuntos'!D13/NºAsuntos!G13),'Resol  Asuntos'!D13/NºAsuntos!G13," - ")</f>
        <v>0.28593996840442337</v>
      </c>
      <c r="AO13" s="876">
        <f>IF(ISNUMBER((NºAsuntos!C13+NºAsuntos!E13)/NºAsuntos!G13),(NºAsuntos!C13+NºAsuntos!E13)/NºAsuntos!G13," - ")</f>
        <v>2.7424960505529228</v>
      </c>
      <c r="AP13" s="877" t="str">
        <f t="shared" si="2"/>
        <v xml:space="preserve"> - </v>
      </c>
      <c r="AQ13" s="877">
        <f>IF(ISNUMBER((H13-W13+K13)/(F13)),(H13-W13+K13)/(F13)," - ")</f>
        <v>-1.0714285714285714</v>
      </c>
      <c r="AR13" s="878">
        <f>IF(ISNUMBER((Datos!P13-Datos!Q13)/(Datos!R13-Datos!P13+Datos!Q13)),(Datos!P13-Datos!Q13)/(Datos!R13-Datos!P13+Datos!Q13)," - ")</f>
        <v>-0.18697829716193656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402</v>
      </c>
      <c r="G16" s="333">
        <f>IF(ISNUMBER(IF(D_I="SI",Datos!I16,Datos!I16+Datos!AC16)),IF(D_I="SI",Datos!I16,Datos!I16+Datos!AC16)," - ")</f>
        <v>391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508</v>
      </c>
      <c r="X16" s="226">
        <f>IF(ISNUMBER(Datos!Q16),Datos!Q16," - ")</f>
        <v>10</v>
      </c>
      <c r="Y16" s="334">
        <f t="shared" ref="Y16:Y17" si="7">SUM(W16:X16)</f>
        <v>518</v>
      </c>
      <c r="Z16" s="335" t="str">
        <f>IF(ISNUMBER(Datos!CC16),Datos!CC16," - ")</f>
        <v xml:space="preserve"> - </v>
      </c>
      <c r="AA16" s="332">
        <f>IF(ISNUMBER(IF(D_I="SI",Datos!L16,Datos!L16+Datos!AF16)),IF(D_I="SI",Datos!L16,Datos!L16+Datos!AF16)," - ")</f>
        <v>346</v>
      </c>
      <c r="AB16" s="334">
        <f>IF(ISNUMBER(Datos!R16),Datos!R16," - ")</f>
        <v>68</v>
      </c>
      <c r="AC16" s="334">
        <f t="shared" si="6"/>
        <v>414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69</v>
      </c>
      <c r="AJ16" s="231" t="str">
        <f>IF(ISNUMBER(Datos!BW16),Datos!BW16," - ")</f>
        <v xml:space="preserve"> - </v>
      </c>
      <c r="AK16" s="232" t="str">
        <f>IF(ISNUMBER(Datos!BX16),Datos!BX16," - ")</f>
        <v xml:space="preserve"> - </v>
      </c>
      <c r="AL16" s="243">
        <f>IF(ISNUMBER(NºAsuntos!G16/NºAsuntos!E16),NºAsuntos!G16/NºAsuntos!E16," - ")</f>
        <v>1.1238938053097345</v>
      </c>
      <c r="AM16" s="260">
        <f>IF(ISNUMBER(((NºAsuntos!I16/NºAsuntos!G16)*11)/factor_trimestre),((NºAsuntos!I16/NºAsuntos!G16)*11)/factor_trimestre," - ")</f>
        <v>2.0433070866141732</v>
      </c>
      <c r="AN16" s="244">
        <f>IF(ISNUMBER('Resol  Asuntos'!D16/NºAsuntos!G16),'Resol  Asuntos'!D16/NºAsuntos!G16," - ")</f>
        <v>0.13582677165354332</v>
      </c>
      <c r="AO16" s="245">
        <f>IF(ISNUMBER((NºAsuntos!C16+NºAsuntos!E16)/NºAsuntos!G16),(NºAsuntos!C16+NºAsuntos!E16)/NºAsuntos!G16," - ")</f>
        <v>1.6594488188976377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25</v>
      </c>
      <c r="AB17" s="334">
        <f>IF(ISNUMBER(Datos!R17),Datos!R17," - ")</f>
        <v>2</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1.1304347826086956</v>
      </c>
      <c r="AM17" s="260">
        <f>IF(ISNUMBER(((NºAsuntos!I17/NºAsuntos!G17)*11)/factor_trimestre),((NºAsuntos!I17/NºAsuntos!G17)*11)/factor_trimestre," - ")</f>
        <v>2.8846153846153846</v>
      </c>
      <c r="AN17" s="244">
        <f>IF(ISNUMBER('Resol  Asuntos'!D17/NºAsuntos!G17),'Resol  Asuntos'!D17/NºAsuntos!G17," - ")</f>
        <v>0.15384615384615385</v>
      </c>
      <c r="AO17" s="245">
        <f>IF(ISNUMBER((NºAsuntos!C17+NºAsuntos!E17)/NºAsuntos!G17),(NºAsuntos!C17+NºAsuntos!E17)/NºAsuntos!G17," - ")</f>
        <v>1.9615384615384615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402</v>
      </c>
      <c r="G18" s="866">
        <f>SUBTOTAL(9,G15:G17)</f>
        <v>419</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534</v>
      </c>
      <c r="X18" s="867">
        <f t="shared" si="11"/>
        <v>10</v>
      </c>
      <c r="Y18" s="868">
        <f t="shared" si="11"/>
        <v>544</v>
      </c>
      <c r="Z18" s="868">
        <f t="shared" si="11"/>
        <v>0</v>
      </c>
      <c r="AA18" s="868">
        <f t="shared" si="11"/>
        <v>371</v>
      </c>
      <c r="AB18" s="868">
        <f t="shared" si="11"/>
        <v>70</v>
      </c>
      <c r="AC18" s="868">
        <f t="shared" si="11"/>
        <v>441</v>
      </c>
      <c r="AD18" s="868">
        <f t="shared" si="11"/>
        <v>0</v>
      </c>
      <c r="AE18" s="872">
        <f t="shared" si="11"/>
        <v>0</v>
      </c>
      <c r="AF18" s="865">
        <f t="shared" si="11"/>
        <v>0</v>
      </c>
      <c r="AG18" s="873">
        <f t="shared" si="11"/>
        <v>0</v>
      </c>
      <c r="AH18" s="870">
        <f t="shared" si="11"/>
        <v>0</v>
      </c>
      <c r="AI18" s="865">
        <f t="shared" si="11"/>
        <v>73</v>
      </c>
      <c r="AJ18" s="867">
        <f t="shared" si="11"/>
        <v>0</v>
      </c>
      <c r="AK18" s="870">
        <f t="shared" si="11"/>
        <v>0</v>
      </c>
      <c r="AL18" s="874">
        <f>IF(ISNUMBER(NºAsuntos!G18/NºAsuntos!E18),NºAsuntos!G18/NºAsuntos!E18," - ")</f>
        <v>1.1242105263157895</v>
      </c>
      <c r="AM18" s="874">
        <f>IF(ISNUMBER(((NºAsuntos!I18/NºAsuntos!G18)*11)/factor_trimestre),((NºAsuntos!I18/NºAsuntos!G18)*11)/factor_trimestre," - ")</f>
        <v>2.0842696629213484</v>
      </c>
      <c r="AN18" s="875">
        <f>IF(ISNUMBER('Resol  Asuntos'!D18/NºAsuntos!G18),'Resol  Asuntos'!D18/NºAsuntos!G18," - ")</f>
        <v>0.13670411985018727</v>
      </c>
      <c r="AO18" s="876">
        <f>IF(ISNUMBER((NºAsuntos!C18+NºAsuntos!E18)/NºAsuntos!G18),(NºAsuntos!C18+NºAsuntos!E18)/NºAsuntos!G18," - ")</f>
        <v>1.6741573033707866</v>
      </c>
      <c r="AP18" s="877" t="str">
        <f t="shared" si="2"/>
        <v xml:space="preserve"> - </v>
      </c>
      <c r="AQ18" s="877">
        <f>IF(ISNUMBER((H18-W18+K18)/(F18)),(H18-W18+K18)/(F18)," - ")</f>
        <v>-1.3283582089552239</v>
      </c>
      <c r="AR18" s="878">
        <f>IF(ISNUMBER((Datos!P18-Datos!Q18)/(Datos!R18-Datos!P18+Datos!Q18)),(Datos!P18-Datos!Q18)/(Datos!R18-Datos!P18+Datos!Q18)," - ")</f>
        <v>0.22807017543859648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416</v>
      </c>
      <c r="G19" s="821">
        <f t="shared" si="13"/>
        <v>433</v>
      </c>
      <c r="H19" s="820">
        <f t="shared" si="13"/>
        <v>0</v>
      </c>
      <c r="I19" s="822">
        <f t="shared" si="13"/>
        <v>0</v>
      </c>
      <c r="J19" s="822">
        <f t="shared" si="13"/>
        <v>0</v>
      </c>
      <c r="K19" s="881">
        <f t="shared" si="13"/>
        <v>0</v>
      </c>
      <c r="L19" s="822">
        <f t="shared" si="13"/>
        <v>107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549</v>
      </c>
      <c r="X19" s="821">
        <f t="shared" si="14"/>
        <v>318</v>
      </c>
      <c r="Y19" s="828">
        <f t="shared" si="14"/>
        <v>867</v>
      </c>
      <c r="Z19" s="828">
        <f t="shared" si="14"/>
        <v>0</v>
      </c>
      <c r="AA19" s="828">
        <f t="shared" si="14"/>
        <v>381</v>
      </c>
      <c r="AB19" s="828">
        <f t="shared" si="14"/>
        <v>1044</v>
      </c>
      <c r="AC19" s="828">
        <f t="shared" si="14"/>
        <v>472</v>
      </c>
      <c r="AD19" s="828">
        <f t="shared" si="14"/>
        <v>0</v>
      </c>
      <c r="AE19" s="830">
        <f t="shared" si="14"/>
        <v>0</v>
      </c>
      <c r="AF19" s="831">
        <f t="shared" si="14"/>
        <v>0</v>
      </c>
      <c r="AG19" s="832">
        <f t="shared" si="14"/>
        <v>0</v>
      </c>
      <c r="AH19" s="830">
        <f t="shared" si="14"/>
        <v>0</v>
      </c>
      <c r="AI19" s="820">
        <f t="shared" si="14"/>
        <v>254</v>
      </c>
      <c r="AJ19" s="820">
        <f t="shared" si="14"/>
        <v>0</v>
      </c>
      <c r="AK19" s="830">
        <f t="shared" si="14"/>
        <v>0</v>
      </c>
      <c r="AL19" s="884">
        <f>IF(ISNUMBER(NºAsuntos!G19/NºAsuntos!E19),NºAsuntos!G19/NºAsuntos!E19," - ")</f>
        <v>1.004302925989673</v>
      </c>
      <c r="AM19" s="885">
        <f>IF(ISNUMBER(((NºAsuntos!I19/NºAsuntos!G19)*11)/factor_trimestre),((NºAsuntos!I19/NºAsuntos!G19)*11)/factor_trimestre," - ")</f>
        <v>3.7892030848329052</v>
      </c>
      <c r="AN19" s="885">
        <f>IF(ISNUMBER('Resol  Asuntos'!D19/NºAsuntos!G19),'Resol  Asuntos'!D19/NºAsuntos!G19," - ")</f>
        <v>0.21765209940017138</v>
      </c>
      <c r="AO19" s="886">
        <f>IF(ISNUMBER((NºAsuntos!C19+NºAsuntos!E19)/NºAsuntos!G19),(NºAsuntos!C19+NºAsuntos!E19)/NºAsuntos!G19," - ")</f>
        <v>2.2536418166238219</v>
      </c>
      <c r="AP19" s="887" t="str">
        <f t="shared" si="2"/>
        <v xml:space="preserve"> - </v>
      </c>
      <c r="AQ19" s="888">
        <f>IF(OR(ISNUMBER(FIND("01",Criterios!A8,1)),ISNUMBER(FIND("02",Criterios!A8,1)),ISNUMBER(FIND("03",Criterios!A8,1)),ISNUMBER(FIND("04",Criterios!A8,1))),(I19-W19+K19)/(F19-K19),(H19-W19+K19)/(F19-K19))</f>
        <v>-1.3197115384615385</v>
      </c>
      <c r="AR19" s="889">
        <f>IF(ISNUMBER((Datos!P19-Datos!Q19)/(Datos!R19-Datos!P19+Datos!Q19)),(Datos!P19-Datos!Q19)/(Datos!R19-Datos!P19+Datos!Q19)," - ")</f>
        <v>-0.16812749003984065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224.0119044455748</v>
      </c>
      <c r="G21" s="253">
        <f>IF(ISNUMBER(STDEV(G8:G18)),STDEV(G8:G18),"-")</f>
        <v>211.91201004190395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275.32943903622078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78.124686666038329</v>
      </c>
      <c r="AJ21" s="252">
        <f t="shared" si="18"/>
        <v>0</v>
      </c>
      <c r="AK21" s="254">
        <f t="shared" si="18"/>
        <v>0</v>
      </c>
      <c r="AL21" s="249">
        <f t="shared" si="18"/>
        <v>0.16608746832518181</v>
      </c>
      <c r="AM21" s="250">
        <f t="shared" si="18"/>
        <v>1.590444756424374</v>
      </c>
      <c r="AN21" s="250">
        <f t="shared" si="18"/>
        <v>0.10787829692465148</v>
      </c>
      <c r="AO21" s="251">
        <f t="shared" si="18"/>
        <v>0.53656749277562032</v>
      </c>
      <c r="AP21" s="291" t="str">
        <f t="shared" si="18"/>
        <v>-</v>
      </c>
      <c r="AQ21" s="292">
        <f t="shared" si="18"/>
        <v>0.18167668898289524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CU3S4fU+TdSFCt1pH37/qqEwglNf31NqNb8v2Blpyrh5UhHKQS1DzwdyIlPrGZGQXHJ2WkGF8FjJnAkfPI6G4Q==" saltValue="SYDRiDlEiZ9SObfyypjoD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TERUEL</v>
      </c>
      <c r="E3" s="263"/>
    </row>
    <row r="4" spans="2:20" ht="17.25" customHeight="1" thickBot="1">
      <c r="D4" s="262" t="str">
        <f>Criterios!A11 &amp;"  "&amp;Criterios!B11</f>
        <v>Resumenes por Partidos Judiciales  ALCAÑIZ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-0.6333333333333333</v>
      </c>
      <c r="F10" s="348">
        <f>IF(ISNUMBER((Datos!K10-Datos!U10)/Datos!U10),(Datos!K10-Datos!U10)/Datos!U10," - ")</f>
        <v>-0.375</v>
      </c>
      <c r="G10" s="349">
        <f>IF(ISNUMBER((Datos!L10-Datos!V10)/Datos!V10),(Datos!L10-Datos!V10)/Datos!V10," - ")</f>
        <v>-0.23076923076923078</v>
      </c>
      <c r="H10" s="230" t="str">
        <f>IF(ISNUMBER((Datos!M10-Datos!W10)/Datos!W10),(Datos!M10-Datos!W10)/Datos!W10," - ")</f>
        <v xml:space="preserve"> - </v>
      </c>
      <c r="I10" s="350">
        <f>IF(ISNUMBER((Tasas!C10-Datos!BE10)/Datos!BE10),(Tasas!C10-Datos!BE10)/Datos!BE10," - ")</f>
        <v>0.23076923076923078</v>
      </c>
      <c r="J10" s="349" t="str">
        <f>IF(ISNUMBER((Tasas!D10-Datos!BF10)/Datos!BF10),(Tasas!D10-Datos!BF10)/Datos!BF10," - ")</f>
        <v xml:space="preserve"> - </v>
      </c>
      <c r="K10" s="351">
        <f>IF(ISNUMBER((Tasas!E10-Datos!BG10)/Datos!BG10),(Tasas!E10-Datos!BG10)/Datos!BG10," - ")</f>
        <v>8.1081081081081072E-2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-0.30555555555555558</v>
      </c>
      <c r="I12" s="350">
        <f>IF(ISNUMBER((Tasas!C12-Datos!BE12)/Datos!BE12),(Tasas!C12-Datos!BE12)/Datos!BE12," - ")</f>
        <v>0.69443348729890109</v>
      </c>
      <c r="J12" s="349">
        <f>IF(ISNUMBER((Tasas!D12-Datos!BF12)/Datos!BF12),(Tasas!D12-Datos!BF12)/Datos!BF12," - ")</f>
        <v>0.41779713614399089</v>
      </c>
      <c r="K12" s="351">
        <f>IF(ISNUMBER((Tasas!E12-Datos!BG12)/Datos!BG12),(Tasas!E12-Datos!BG12)/Datos!BG12," - ")</f>
        <v>0.35465378233538253</v>
      </c>
      <c r="M12" t="e">
        <f>IF(Monitorios="SI",Datos!CE12,0)</f>
        <v>#REF!</v>
      </c>
      <c r="N12" t="e">
        <f>IF(Monitorios="SI",Datos!CF12,0)</f>
        <v>#REF!</v>
      </c>
      <c r="O12" t="e">
        <f>IF(Monitorios="SI",Datos!CG12,0)</f>
        <v>#REF!</v>
      </c>
      <c r="P12" t="e">
        <f>IF(Monitorios="SI",Datos!CH12,0)</f>
        <v>#REF!</v>
      </c>
      <c r="Q12">
        <f>IF(J_V="SI",0,Datos!AG12)</f>
        <v>16</v>
      </c>
      <c r="R12">
        <f>IF(J_V="SI",0,Datos!AH12)</f>
        <v>32</v>
      </c>
      <c r="S12">
        <f>IF(J_V="SI",0,Datos!AI12)</f>
        <v>35</v>
      </c>
      <c r="T12">
        <f>IF(J_V="SI",0,Datos!AJ12)</f>
        <v>13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-0.28174603174603174</v>
      </c>
      <c r="I13" s="357">
        <f>IF(ISNUMBER((Tasas!C13-Datos!BE13)/Datos!BE13),(Tasas!C13-Datos!BE13)/Datos!BE13," - ")</f>
        <v>0.69534087392713473</v>
      </c>
      <c r="J13" s="355">
        <f>IF(ISNUMBER((Tasas!D13-Datos!BF13)/Datos!BF13),(Tasas!D13-Datos!BF13)/Datos!BF13," - ")</f>
        <v>0.47866216537903861</v>
      </c>
      <c r="K13" s="358">
        <f>IF(ISNUMBER((Tasas!E13-Datos!BG13)/Datos!BG13),(Tasas!E13-Datos!BG13)/Datos!BG13," - ")</f>
        <v>0.35243926725503366</v>
      </c>
      <c r="M13" t="e">
        <f>IF(Monitorios="SI",Datos!CE13,0)</f>
        <v>#REF!</v>
      </c>
      <c r="N13" t="e">
        <f>IF(Monitorios="SI",Datos!CF13,0)</f>
        <v>#REF!</v>
      </c>
      <c r="O13" t="e">
        <f>IF(Monitorios="SI",Datos!CG13,0)</f>
        <v>#REF!</v>
      </c>
      <c r="P13" t="e">
        <f>IF(Monitorios="SI",Datos!CH13,0)</f>
        <v>#REF!</v>
      </c>
      <c r="Q13">
        <f>IF(J_V="SI",0,Datos!AG13)</f>
        <v>16</v>
      </c>
      <c r="R13">
        <f>IF(J_V="SI",0,Datos!AH13)</f>
        <v>32</v>
      </c>
      <c r="S13">
        <f>IF(J_V="SI",0,Datos!AI13)</f>
        <v>35</v>
      </c>
      <c r="T13">
        <f>IF(J_V="SI",0,Datos!AJ13)</f>
        <v>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0.26129032258064516</v>
      </c>
      <c r="E16" s="348">
        <f>IF(ISNUMBER(
   IF(D_I="SI",(Datos!J16-Datos!T16)/Datos!T16,(Datos!J16+Datos!AD16-(Datos!T16+Datos!AL16))/(Datos!T16+Datos!AL16))
     ),IF(D_I="SI",(Datos!J16-Datos!T16)/Datos!T16,(Datos!J16+Datos!AD16-(Datos!T16+Datos!AL16))/(Datos!T16+Datos!AL16))," - ")</f>
        <v>-0.41374837872892345</v>
      </c>
      <c r="F16" s="348">
        <f>IF(ISNUMBER(
   IF(D_I="SI",(Datos!K16-Datos!U16)/Datos!U16,(Datos!K16+Datos!AE16-(Datos!U16+Datos!AM16))/(Datos!U16+Datos!AM16))
     ),IF(D_I="SI",(Datos!K16-Datos!U16)/Datos!U16,(Datos!K16+Datos!AE16-(Datos!U16+Datos!AM16))/(Datos!U16+Datos!AM16))," - ")</f>
        <v>-0.38721351025331724</v>
      </c>
      <c r="G16" s="349">
        <f>IF(ISNUMBER(
   IF(D_I="SI",(Datos!L16-Datos!V16)/Datos!V16,(Datos!L16+Datos!AF16-(Datos!V16+Datos!AN16))/(Datos!V16+Datos!AN16))
     ),IF(D_I="SI",(Datos!L16-Datos!V16)/Datos!V16,(Datos!L16+Datos!AF16-(Datos!V16+Datos!AN16))/(Datos!V16+Datos!AN16))," - ")</f>
        <v>0.20557491289198607</v>
      </c>
      <c r="H16" s="230">
        <f>IF(ISNUMBER((Datos!M16-Datos!W16)/Datos!W16),(Datos!M16-Datos!W16)/Datos!W16," - ")</f>
        <v>-4.1666666666666664E-2</v>
      </c>
      <c r="I16" s="350">
        <f>IF(ISNUMBER((Tasas!C16-Datos!BE16)/Datos!BE16),(Tasas!C16-Datos!BE16)/Datos!BE16," - ")</f>
        <v>0.96736535981782767</v>
      </c>
      <c r="J16" s="349">
        <f>IF(ISNUMBER((Tasas!D16-Datos!BF16)/Datos!BF16),(Tasas!D16-Datos!BF16)/Datos!BF16," - ")</f>
        <v>0.56389435695538059</v>
      </c>
      <c r="K16" s="351">
        <f>IF(ISNUMBER((Tasas!E16-Datos!BG16)/Datos!BG16),(Tasas!E16-Datos!BG16)/Datos!BG16," - ")</f>
        <v>0.27260228572261019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-0.30303030303030304</v>
      </c>
      <c r="F17" s="348">
        <f>IF(ISNUMBER(
   IF(D_I="SI",(Datos!K17-Datos!U17)/Datos!U17,(Datos!K17+Datos!AE17-(Datos!U17+Datos!AM17))/(Datos!U17+Datos!AM17))
     ),IF(D_I="SI",(Datos!K17-Datos!U17)/Datos!U17,(Datos!K17+Datos!AE17-(Datos!U17+Datos!AM17))/(Datos!U17+Datos!AM17))," - ")</f>
        <v>-0.38095238095238093</v>
      </c>
      <c r="G17" s="349">
        <f>IF(ISNUMBER(
   IF(D_I="SI",(Datos!L17-Datos!V17)/Datos!V17,(Datos!L17+Datos!AF17-(Datos!V17+Datos!AN17))/(Datos!V17+Datos!AN17))
     ),IF(D_I="SI",(Datos!L17-Datos!V17)/Datos!V17,(Datos!L17+Datos!AF17-(Datos!V17+Datos!AN17))/(Datos!V17+Datos!AN17))," - ")</f>
        <v>4</v>
      </c>
      <c r="H17" s="230">
        <f>IF(ISNUMBER((Datos!M17-Datos!W17)/Datos!W17),(Datos!M17-Datos!W17)/Datos!W17," - ")</f>
        <v>-0.75</v>
      </c>
      <c r="I17" s="350">
        <f>IF(ISNUMBER((Tasas!C17-Datos!BE17)/Datos!BE17),(Tasas!C17-Datos!BE17)/Datos!BE17," - ")</f>
        <v>7.0769230769230775</v>
      </c>
      <c r="J17" s="349">
        <f>IF(ISNUMBER((Tasas!D17-Datos!BF17)/Datos!BF17),(Tasas!D17-Datos!BF17)/Datos!BF17," - ")</f>
        <v>-0.59615384615384615</v>
      </c>
      <c r="K17" s="351">
        <f>IF(ISNUMBER((Tasas!E17-Datos!BG17)/Datos!BG17),(Tasas!E17-Datos!BG17)/Datos!BG17," - ")</f>
        <v>0.75286415711947619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0.2932098765432099</v>
      </c>
      <c r="E18" s="354">
        <f>IF(ISNUMBER(
   IF(D_I="SI",(Datos!J18-Datos!T18)/Datos!T18,(Datos!J18+Datos!AD18-(Datos!T18+Datos!AL18))/(Datos!T18+Datos!AL18))
     ),IF(D_I="SI",(Datos!J18-Datos!T18)/Datos!T18,(Datos!J18+Datos!AD18-(Datos!T18+Datos!AL18))/(Datos!T18+Datos!AL18))," - ")</f>
        <v>-0.40920398009950248</v>
      </c>
      <c r="F18" s="354">
        <f>IF(ISNUMBER(
   IF(D_I="SI",(Datos!K18-Datos!U18)/Datos!U18,(Datos!K18+Datos!AE18-(Datos!U18+Datos!AM18))/(Datos!U18+Datos!AM18))
     ),IF(D_I="SI",(Datos!K18-Datos!U18)/Datos!U18,(Datos!K18+Datos!AE18-(Datos!U18+Datos!AM18))/(Datos!U18+Datos!AM18))," - ")</f>
        <v>-0.38691159586681972</v>
      </c>
      <c r="G18" s="355">
        <f>IF(ISNUMBER(
   IF(D_I="SI",(Datos!L18-Datos!V18)/Datos!V18,(Datos!L18+Datos!AF18-(Datos!V18+Datos!AN18))/(Datos!V18+Datos!AN18))
     ),IF(D_I="SI",(Datos!L18-Datos!V18)/Datos!V18,(Datos!L18+Datos!AF18-(Datos!V18+Datos!AN18))/(Datos!V18+Datos!AN18))," - ")</f>
        <v>0.27054794520547948</v>
      </c>
      <c r="H18" s="356">
        <f>IF(ISNUMBER((Datos!M18-Datos!W18)/Datos!W18),(Datos!M18-Datos!W18)/Datos!W18," - ")</f>
        <v>-0.17045454545454544</v>
      </c>
      <c r="I18" s="357">
        <f>IF(ISNUMBER((Tasas!C18-Datos!BE18)/Datos!BE18),(Tasas!C18-Datos!BE18)/Datos!BE18," - ")</f>
        <v>1.0723731465804733</v>
      </c>
      <c r="J18" s="355">
        <f>IF(ISNUMBER((Tasas!D18-Datos!BF18)/Datos!BF18),(Tasas!D18-Datos!BF18)/Datos!BF18," - ")</f>
        <v>0.3530600953353763</v>
      </c>
      <c r="K18" s="358">
        <f>IF(ISNUMBER((Tasas!E18-Datos!BG18)/Datos!BG18),(Tasas!E18-Datos!BG18)/Datos!BG18," - ")</f>
        <v>0.29272252769144969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0.34555453712190654</v>
      </c>
      <c r="E19" s="363">
        <f>IF(ISNUMBER(
   IF(J_V="SI",(Datos!J19-Datos!T19)/Datos!T19,(Datos!J19+Datos!Z19-(Datos!T19+Datos!AH19))/(Datos!T19+Datos!AH19))
     ),IF(J_V="SI",(Datos!J19-Datos!T19)/Datos!T19,(Datos!J19+Datos!Z19-(Datos!T19+Datos!AH19))/(Datos!T19+Datos!AH19))," - ")</f>
        <v>-0.25892857142857145</v>
      </c>
      <c r="F19" s="363">
        <f>IF(ISNUMBER(
   IF(J_V="SI",(Datos!K19-Datos!U19)/Datos!U19,(Datos!K19+Datos!AA19-(Datos!U19+Datos!AI19))/(Datos!U19+Datos!AI19))
     ),IF(J_V="SI",(Datos!K19-Datos!U19)/Datos!U19,(Datos!K19+Datos!AA19-(Datos!U19+Datos!AI19))/(Datos!U19+Datos!AI19))," - ")</f>
        <v>-0.28228782287822879</v>
      </c>
      <c r="G19" s="364">
        <f>IF(ISNUMBER(
   IF(J_V="SI",(Datos!L19-Datos!V19)/Datos!V19,(Datos!L19+Datos!AB19-(Datos!V19+Datos!AJ19))/(Datos!V19+Datos!AJ19))
     ),IF(J_V="SI",(Datos!L19-Datos!V19)/Datos!V19,(Datos!L19+Datos!AB19-(Datos!V19+Datos!AJ19))/(Datos!V19+Datos!AJ19))," - ")</f>
        <v>0.38014981273408238</v>
      </c>
      <c r="H19" s="365">
        <f>IF(ISNUMBER((Datos!M19-Datos!W19)/Datos!W19),(Datos!M19-Datos!W19)/Datos!W19," - ")</f>
        <v>-0.25294117647058822</v>
      </c>
      <c r="I19" s="362">
        <f>IF(ISNUMBER((Tasas!C19-Datos!BE19)/Datos!BE19),(Tasas!C19-Datos!BE19)/Datos!BE19," - ")</f>
        <v>0.92298508612306596</v>
      </c>
      <c r="J19" s="363">
        <f>IF(ISNUMBER((Tasas!D19-Datos!BF19)/Datos!BF19),(Tasas!D19-Datos!BF19)/Datos!BF19," - ")</f>
        <v>0.51240304967811401</v>
      </c>
      <c r="K19" s="364">
        <f>IF(ISNUMBER((Tasas!E19-Datos!BG19)/Datos!BG19),(Tasas!E19-Datos!BG19)/Datos!BG19," - ")</f>
        <v>0.37812019324194607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0.41748327213826897</v>
      </c>
      <c r="E21" s="278">
        <f t="shared" si="1"/>
        <v>0.13877547953580291</v>
      </c>
      <c r="F21" s="278">
        <f t="shared" si="1"/>
        <v>5.7828188240459082E-3</v>
      </c>
      <c r="G21" s="279">
        <f t="shared" si="1"/>
        <v>1.9717128609467141</v>
      </c>
      <c r="H21" s="285">
        <f t="shared" si="1"/>
        <v>0.26734513500271989</v>
      </c>
      <c r="I21" s="277">
        <f t="shared" si="1"/>
        <v>2.6066459502279953</v>
      </c>
      <c r="J21" s="278">
        <f t="shared" si="1"/>
        <v>0.475750791902805</v>
      </c>
      <c r="K21" s="279">
        <f t="shared" si="1"/>
        <v>0.22086597229638441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i5SumDyw5ruHiWCkVkUfkcVwQI4+084koVYvrGdVoc4DQkc6tsBxHCR977F+GE+QoZnfFIG4S85ub7Dlj6IUw==" saltValue="6GI1jA+f6igM+z5HbYDZp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